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416" windowWidth="15480" windowHeight="11640" tabRatio="844" activeTab="12"/>
  </bookViews>
  <sheets>
    <sheet name="Fall A" sheetId="1" r:id="rId1"/>
    <sheet name="Fall B" sheetId="2" r:id="rId2"/>
    <sheet name="Graphik" sheetId="3" r:id="rId3"/>
    <sheet name="Wertetabelle" sheetId="4" r:id="rId4"/>
    <sheet name="Konz-GW" sheetId="5" r:id="rId5"/>
    <sheet name="GWN" sheetId="6" r:id="rId6"/>
    <sheet name="Feldkap" sheetId="7" r:id="rId7"/>
    <sheet name="Stoffdaten" sheetId="8" r:id="rId8"/>
    <sheet name="kd-Anorganik" sheetId="9" r:id="rId9"/>
    <sheet name="kd-Organik" sheetId="10" r:id="rId10"/>
    <sheet name="Bio-Abbau" sheetId="11" r:id="rId11"/>
    <sheet name="Äquival" sheetId="12" r:id="rId12"/>
    <sheet name="MKW" sheetId="13" r:id="rId13"/>
    <sheet name="Teeröl" sheetId="14" r:id="rId14"/>
    <sheet name="Prüfwerte" sheetId="15" r:id="rId15"/>
    <sheet name="GFS" sheetId="16" r:id="rId16"/>
  </sheets>
  <definedNames>
    <definedName name="_xlnm.Print_Area" localSheetId="0">'Fall A'!$A$1:$D$80</definedName>
    <definedName name="_xlnm.Print_Area" localSheetId="1">'Fall B'!$A$1:$E$105</definedName>
    <definedName name="_xlnm.Print_Titles" localSheetId="10">'Bio-Abbau'!$9:$12</definedName>
    <definedName name="_xlnm.Print_Titles" localSheetId="9">'kd-Organik'!$10:$12</definedName>
    <definedName name="_xlnm.Print_Titles" localSheetId="12">'MKW'!$6:$9</definedName>
    <definedName name="_xlnm.Print_Titles" localSheetId="7">'Stoffdaten'!$8:$12</definedName>
    <definedName name="solver_adj" localSheetId="0" hidden="1">'Fall A'!$D$42</definedName>
    <definedName name="solver_adj" localSheetId="1" hidden="1">'Fall B'!$D$45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2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2</definedName>
    <definedName name="solver_nwt" localSheetId="1" hidden="1">1</definedName>
    <definedName name="solver_opt" localSheetId="0" hidden="1">'Fall A'!$D$71</definedName>
    <definedName name="solver_opt" localSheetId="1" hidden="1">'Fall B'!$D$96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25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<sst xmlns="http://schemas.openxmlformats.org/spreadsheetml/2006/main" count="2645" uniqueCount="1153">
  <si>
    <t>Kennwert/Parameter</t>
  </si>
  <si>
    <t>Einheit</t>
  </si>
  <si>
    <t>Kontaminierte Fläche</t>
  </si>
  <si>
    <t>OdB (u GOK)</t>
  </si>
  <si>
    <t>m</t>
  </si>
  <si>
    <t>Unterkante Quelle</t>
  </si>
  <si>
    <t>Feldkapazität</t>
  </si>
  <si>
    <t>%</t>
  </si>
  <si>
    <t>Trockenraumdichte Quelle</t>
  </si>
  <si>
    <t>Gesamtgehalt</t>
  </si>
  <si>
    <t>mg/kg TM</t>
  </si>
  <si>
    <t>Gesamtmasse Quelle</t>
  </si>
  <si>
    <t>kg</t>
  </si>
  <si>
    <t>Mobilisierbarer Anteil</t>
  </si>
  <si>
    <t>Emissionsdauer</t>
  </si>
  <si>
    <t>a</t>
  </si>
  <si>
    <t>Quellstärke</t>
  </si>
  <si>
    <t>Sickerwasserrate</t>
  </si>
  <si>
    <t>mm/a</t>
  </si>
  <si>
    <t>Länge Transportstrecke</t>
  </si>
  <si>
    <t>Sickerwassergeschw</t>
  </si>
  <si>
    <t>m/a</t>
  </si>
  <si>
    <t>Schadstoffverweilzeit</t>
  </si>
  <si>
    <t>long. Dispersivität</t>
  </si>
  <si>
    <t>l/kg</t>
  </si>
  <si>
    <t>Retardationsfaktor</t>
  </si>
  <si>
    <t>Halbwertszeit Abbau</t>
  </si>
  <si>
    <t>1/a</t>
  </si>
  <si>
    <t>Schadstoff</t>
  </si>
  <si>
    <t>Pb</t>
  </si>
  <si>
    <t>Wert</t>
  </si>
  <si>
    <t>Hilfsgrößen</t>
  </si>
  <si>
    <t>a(zs,t)</t>
  </si>
  <si>
    <t>a_exp1</t>
  </si>
  <si>
    <t>a_h1</t>
  </si>
  <si>
    <t>a_h2</t>
  </si>
  <si>
    <t>a_h3</t>
  </si>
  <si>
    <t>a_w1</t>
  </si>
  <si>
    <t>a_erfc1</t>
  </si>
  <si>
    <t>a_erfc2</t>
  </si>
  <si>
    <t>a_exp2</t>
  </si>
  <si>
    <t>Term a(x,t)</t>
  </si>
  <si>
    <t>Term b(x,t)</t>
  </si>
  <si>
    <t>b_h1</t>
  </si>
  <si>
    <t>u</t>
  </si>
  <si>
    <t>b_h2</t>
  </si>
  <si>
    <t>b_exp1</t>
  </si>
  <si>
    <t>b_exp2</t>
  </si>
  <si>
    <t>b_exp3</t>
  </si>
  <si>
    <t>b_h4</t>
  </si>
  <si>
    <t>b_erfc1</t>
  </si>
  <si>
    <t>b_h5</t>
  </si>
  <si>
    <t>b_h6</t>
  </si>
  <si>
    <t>b_erfc2</t>
  </si>
  <si>
    <t>b_erfc3</t>
  </si>
  <si>
    <t>b_h7</t>
  </si>
  <si>
    <t>b(zs,t)</t>
  </si>
  <si>
    <t>c(zs,t)</t>
  </si>
  <si>
    <t>Hintergrundkonzentration</t>
  </si>
  <si>
    <t>t</t>
  </si>
  <si>
    <t>t-t0</t>
  </si>
  <si>
    <t>Zeitpunkt PW-Überschr.</t>
  </si>
  <si>
    <t>Zeitpunkt PW-Unterschr.</t>
  </si>
  <si>
    <t>Oberkante Quelle</t>
  </si>
  <si>
    <t>flächenbez. mob. Masse</t>
  </si>
  <si>
    <t>Abklingkonstante</t>
  </si>
  <si>
    <t xml:space="preserve">Quellstärke initial </t>
  </si>
  <si>
    <t>Symbol</t>
  </si>
  <si>
    <t>PW</t>
  </si>
  <si>
    <t>OdB</t>
  </si>
  <si>
    <t>Ort der Beurteilung (u.GOK)</t>
  </si>
  <si>
    <t>w</t>
  </si>
  <si>
    <t>Term e(x,t)</t>
  </si>
  <si>
    <t>e_h1</t>
  </si>
  <si>
    <t>e_h2</t>
  </si>
  <si>
    <t>e_h3</t>
  </si>
  <si>
    <t>e_h5</t>
  </si>
  <si>
    <t>e_h6</t>
  </si>
  <si>
    <t>e_h4</t>
  </si>
  <si>
    <t>e_exp1</t>
  </si>
  <si>
    <t>e_exp2</t>
  </si>
  <si>
    <t>e_exp3</t>
  </si>
  <si>
    <t>asympt. Endkonzentration</t>
  </si>
  <si>
    <t>e_erfc1</t>
  </si>
  <si>
    <t>e_erfc2</t>
  </si>
  <si>
    <t>e_erfc3</t>
  </si>
  <si>
    <t>e(zs,t)</t>
  </si>
  <si>
    <t>Zeitpunkt n. Beginn Emission</t>
  </si>
  <si>
    <r>
      <t>m</t>
    </r>
    <r>
      <rPr>
        <b/>
        <sz val="10"/>
        <rFont val="Arial"/>
        <family val="0"/>
      </rPr>
      <t>g/l</t>
    </r>
  </si>
  <si>
    <t>R</t>
  </si>
  <si>
    <r>
      <t>m</t>
    </r>
    <r>
      <rPr>
        <sz val="14"/>
        <rFont val="Arial"/>
        <family val="0"/>
      </rPr>
      <t>g/l</t>
    </r>
  </si>
  <si>
    <r>
      <t>Abbaukoeff.</t>
    </r>
    <r>
      <rPr>
        <b/>
        <sz val="10"/>
        <color indexed="10"/>
        <rFont val="Symbol"/>
        <family val="1"/>
      </rPr>
      <t xml:space="preserve"> l</t>
    </r>
  </si>
  <si>
    <t>Berechnung nach analytischer Lösung "van Genuchten"</t>
  </si>
  <si>
    <r>
      <t>m</t>
    </r>
    <r>
      <rPr>
        <b/>
        <sz val="10"/>
        <rFont val="Arial"/>
        <family val="2"/>
      </rPr>
      <t>g/l</t>
    </r>
  </si>
  <si>
    <t>Zeitdauer PW-Überschr.</t>
  </si>
  <si>
    <t>max. Konzentration</t>
  </si>
  <si>
    <t>As</t>
  </si>
  <si>
    <t>(%)</t>
  </si>
  <si>
    <t>(l/kg)</t>
  </si>
  <si>
    <t>Cd</t>
  </si>
  <si>
    <t>Cr</t>
  </si>
  <si>
    <t>Cu</t>
  </si>
  <si>
    <t>Ni</t>
  </si>
  <si>
    <t>Hg</t>
  </si>
  <si>
    <t>Zn</t>
  </si>
  <si>
    <t>Sn</t>
  </si>
  <si>
    <t>pH</t>
  </si>
  <si>
    <t>Ton</t>
  </si>
  <si>
    <t>n-Freundlich</t>
  </si>
  <si>
    <t>kd-Werte Anorganik</t>
  </si>
  <si>
    <t>Stoff</t>
  </si>
  <si>
    <t>kd-Werte Organik</t>
  </si>
  <si>
    <t>Benzol</t>
  </si>
  <si>
    <t>Ethylbenzol</t>
  </si>
  <si>
    <t>Toluol</t>
  </si>
  <si>
    <t>MTBE</t>
  </si>
  <si>
    <t>LHKW</t>
  </si>
  <si>
    <t>cis-Dichlorethen</t>
  </si>
  <si>
    <t>PAK</t>
  </si>
  <si>
    <t>Anthracen</t>
  </si>
  <si>
    <t>Fluoren</t>
  </si>
  <si>
    <t>Phenanthren</t>
  </si>
  <si>
    <t>Pyren</t>
  </si>
  <si>
    <t>Chrysen</t>
  </si>
  <si>
    <t>Benzo(a)pyren</t>
  </si>
  <si>
    <t>Chlorbenzol</t>
  </si>
  <si>
    <t>Tetrachlorkohlenstoff</t>
  </si>
  <si>
    <t>Trichlormethan</t>
  </si>
  <si>
    <t>Phenol</t>
  </si>
  <si>
    <t>Jahr</t>
  </si>
  <si>
    <t>Mo</t>
  </si>
  <si>
    <t>Sb</t>
  </si>
  <si>
    <t>Tl</t>
  </si>
  <si>
    <t>log K*</t>
  </si>
  <si>
    <t>b (log Ton)</t>
  </si>
  <si>
    <t>c (log Corg)</t>
  </si>
  <si>
    <t xml:space="preserve">Anorganische Stoffe </t>
  </si>
  <si>
    <t>Antimon</t>
  </si>
  <si>
    <t>Arsen</t>
  </si>
  <si>
    <t>Blei</t>
  </si>
  <si>
    <t>Cadmium</t>
  </si>
  <si>
    <t>Chrom, gesamt</t>
  </si>
  <si>
    <t>Chromat</t>
  </si>
  <si>
    <t>Kobalt</t>
  </si>
  <si>
    <t>Kupfer</t>
  </si>
  <si>
    <t>Molybdän</t>
  </si>
  <si>
    <t>Nickel</t>
  </si>
  <si>
    <t>Quecksilber</t>
  </si>
  <si>
    <t>Selen</t>
  </si>
  <si>
    <t>Zink</t>
  </si>
  <si>
    <t>Zinn</t>
  </si>
  <si>
    <t>Cyanid, gesamt</t>
  </si>
  <si>
    <t>Fluorid</t>
  </si>
  <si>
    <t>Cr VI</t>
  </si>
  <si>
    <t>Co</t>
  </si>
  <si>
    <t>Se</t>
  </si>
  <si>
    <t>F</t>
  </si>
  <si>
    <r>
      <t>m</t>
    </r>
    <r>
      <rPr>
        <b/>
        <vertAlign val="superscript"/>
        <sz val="10"/>
        <rFont val="Arial"/>
        <family val="2"/>
      </rPr>
      <t>2</t>
    </r>
  </si>
  <si>
    <t>OKq</t>
  </si>
  <si>
    <t>UKq</t>
  </si>
  <si>
    <t>FK</t>
  </si>
  <si>
    <r>
      <t>r</t>
    </r>
    <r>
      <rPr>
        <b/>
        <sz val="10"/>
        <rFont val="Arial"/>
        <family val="2"/>
      </rPr>
      <t>b-Q</t>
    </r>
  </si>
  <si>
    <r>
      <t>kg/dm</t>
    </r>
    <r>
      <rPr>
        <b/>
        <vertAlign val="superscript"/>
        <sz val="10"/>
        <rFont val="Arial"/>
        <family val="2"/>
      </rPr>
      <t>3</t>
    </r>
  </si>
  <si>
    <r>
      <t>r</t>
    </r>
    <r>
      <rPr>
        <b/>
        <sz val="10"/>
        <rFont val="Arial"/>
        <family val="2"/>
      </rPr>
      <t>b-zs</t>
    </r>
  </si>
  <si>
    <t>G</t>
  </si>
  <si>
    <r>
      <t>M</t>
    </r>
    <r>
      <rPr>
        <b/>
        <vertAlign val="subscript"/>
        <sz val="10"/>
        <color indexed="10"/>
        <rFont val="Arial"/>
        <family val="2"/>
      </rPr>
      <t>Sch,F</t>
    </r>
  </si>
  <si>
    <r>
      <t>M</t>
    </r>
    <r>
      <rPr>
        <b/>
        <vertAlign val="subscript"/>
        <sz val="10"/>
        <rFont val="Arial"/>
        <family val="2"/>
      </rPr>
      <t>mob</t>
    </r>
  </si>
  <si>
    <r>
      <t>c</t>
    </r>
    <r>
      <rPr>
        <b/>
        <vertAlign val="subscript"/>
        <sz val="10"/>
        <rFont val="Arial"/>
        <family val="2"/>
      </rPr>
      <t>s1</t>
    </r>
  </si>
  <si>
    <r>
      <t>t</t>
    </r>
    <r>
      <rPr>
        <b/>
        <vertAlign val="subscript"/>
        <sz val="10"/>
        <color indexed="10"/>
        <rFont val="Arial"/>
        <family val="2"/>
      </rPr>
      <t>e</t>
    </r>
  </si>
  <si>
    <r>
      <t>J</t>
    </r>
    <r>
      <rPr>
        <b/>
        <vertAlign val="subscript"/>
        <sz val="10"/>
        <color indexed="10"/>
        <rFont val="Arial"/>
        <family val="2"/>
      </rPr>
      <t>s1</t>
    </r>
  </si>
  <si>
    <r>
      <t>mg/(m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*a)</t>
    </r>
  </si>
  <si>
    <t>SWR</t>
  </si>
  <si>
    <r>
      <t>z</t>
    </r>
    <r>
      <rPr>
        <b/>
        <vertAlign val="subscript"/>
        <sz val="10"/>
        <color indexed="10"/>
        <rFont val="Arial"/>
        <family val="2"/>
      </rPr>
      <t>s</t>
    </r>
  </si>
  <si>
    <r>
      <t>v</t>
    </r>
    <r>
      <rPr>
        <b/>
        <vertAlign val="subscript"/>
        <sz val="10"/>
        <color indexed="10"/>
        <rFont val="Arial"/>
        <family val="2"/>
      </rPr>
      <t>sm</t>
    </r>
  </si>
  <si>
    <r>
      <t>t</t>
    </r>
    <r>
      <rPr>
        <b/>
        <vertAlign val="subscript"/>
        <sz val="10"/>
        <color indexed="10"/>
        <rFont val="Arial"/>
        <family val="2"/>
      </rPr>
      <t>stm</t>
    </r>
  </si>
  <si>
    <r>
      <t>m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/a</t>
    </r>
  </si>
  <si>
    <r>
      <t>T</t>
    </r>
    <r>
      <rPr>
        <b/>
        <vertAlign val="subscript"/>
        <sz val="10"/>
        <rFont val="Arial"/>
        <family val="2"/>
      </rPr>
      <t>1/2</t>
    </r>
  </si>
  <si>
    <t>l</t>
  </si>
  <si>
    <t>gelbe Felder: Eingabefelder</t>
  </si>
  <si>
    <t>rote Schrift: berechnete Werte</t>
  </si>
  <si>
    <t>Trockenraumdichte Transportstr.</t>
  </si>
  <si>
    <t>Abbaukoeffizient</t>
  </si>
  <si>
    <r>
      <t>m</t>
    </r>
    <r>
      <rPr>
        <sz val="12"/>
        <rFont val="Arial"/>
        <family val="0"/>
      </rPr>
      <t>g/l</t>
    </r>
  </si>
  <si>
    <t xml:space="preserve">Organische Stoffe </t>
  </si>
  <si>
    <t>MKW</t>
  </si>
  <si>
    <t>BTEX</t>
  </si>
  <si>
    <t>Aldrin</t>
  </si>
  <si>
    <t>DDT</t>
  </si>
  <si>
    <t>Phenole</t>
  </si>
  <si>
    <t>Oberkante Quelle (u.GOK)</t>
  </si>
  <si>
    <t>Unterkante Quelle (u.GOK)</t>
  </si>
  <si>
    <r>
      <t>c</t>
    </r>
    <r>
      <rPr>
        <b/>
        <vertAlign val="subscript"/>
        <sz val="10"/>
        <rFont val="Arial"/>
        <family val="2"/>
      </rPr>
      <t>hi</t>
    </r>
  </si>
  <si>
    <t xml:space="preserve"> konstante Quellkonzentration</t>
  </si>
  <si>
    <t>exponentiell abnehmende Quellkonzentration</t>
  </si>
  <si>
    <r>
      <t>C</t>
    </r>
    <r>
      <rPr>
        <b/>
        <vertAlign val="subscript"/>
        <sz val="10"/>
        <rFont val="Arial"/>
        <family val="2"/>
      </rPr>
      <t>org</t>
    </r>
  </si>
  <si>
    <r>
      <t>K</t>
    </r>
    <r>
      <rPr>
        <b/>
        <vertAlign val="subscript"/>
        <sz val="10"/>
        <color indexed="10"/>
        <rFont val="Arial"/>
        <family val="2"/>
      </rPr>
      <t>d</t>
    </r>
    <r>
      <rPr>
        <b/>
        <sz val="10"/>
        <color indexed="10"/>
        <rFont val="Arial"/>
        <family val="2"/>
      </rPr>
      <t>-Freundlich</t>
    </r>
  </si>
  <si>
    <r>
      <t>(</t>
    </r>
    <r>
      <rPr>
        <b/>
        <sz val="10"/>
        <color indexed="10"/>
        <rFont val="Symbol"/>
        <family val="1"/>
      </rPr>
      <t>m</t>
    </r>
    <r>
      <rPr>
        <b/>
        <sz val="10"/>
        <color indexed="10"/>
        <rFont val="Arial"/>
        <family val="2"/>
      </rPr>
      <t>g</t>
    </r>
    <r>
      <rPr>
        <b/>
        <vertAlign val="superscript"/>
        <sz val="10"/>
        <color indexed="10"/>
        <rFont val="Arial"/>
        <family val="2"/>
      </rPr>
      <t>(1-n)</t>
    </r>
    <r>
      <rPr>
        <b/>
        <sz val="10"/>
        <color indexed="10"/>
        <rFont val="Arial"/>
        <family val="2"/>
      </rPr>
      <t>*l</t>
    </r>
    <r>
      <rPr>
        <b/>
        <vertAlign val="superscript"/>
        <sz val="10"/>
        <color indexed="10"/>
        <rFont val="Arial"/>
        <family val="2"/>
      </rPr>
      <t>n</t>
    </r>
    <r>
      <rPr>
        <b/>
        <sz val="10"/>
        <color indexed="10"/>
        <rFont val="Arial"/>
        <family val="2"/>
      </rPr>
      <t>/kg)</t>
    </r>
  </si>
  <si>
    <t>Tab. BGR</t>
  </si>
  <si>
    <t>Tab. 3.2-6</t>
  </si>
  <si>
    <t>Tab. 3.2-11</t>
  </si>
  <si>
    <t>Freundlich-Regressionskoeffizienten (Bericht BGR/2005)</t>
  </si>
  <si>
    <r>
      <t>log K</t>
    </r>
    <r>
      <rPr>
        <b/>
        <vertAlign val="subscript"/>
        <sz val="10"/>
        <rFont val="Arial"/>
        <family val="2"/>
      </rPr>
      <t>d-fr</t>
    </r>
    <r>
      <rPr>
        <b/>
        <sz val="10"/>
        <rFont val="Arial"/>
        <family val="2"/>
      </rPr>
      <t>=log K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>+a*pH+b*log Ton+c*log C</t>
    </r>
    <r>
      <rPr>
        <b/>
        <vertAlign val="subscript"/>
        <sz val="10"/>
        <rFont val="Arial"/>
        <family val="2"/>
      </rPr>
      <t>org</t>
    </r>
  </si>
  <si>
    <r>
      <t>Freundlich-Modell : c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>=K</t>
    </r>
    <r>
      <rPr>
        <b/>
        <vertAlign val="subscript"/>
        <sz val="12"/>
        <rFont val="Arial"/>
        <family val="2"/>
      </rPr>
      <t>d-Fr</t>
    </r>
    <r>
      <rPr>
        <b/>
        <sz val="12"/>
        <rFont val="Arial"/>
        <family val="2"/>
      </rPr>
      <t>*c</t>
    </r>
    <r>
      <rPr>
        <b/>
        <vertAlign val="superscript"/>
        <sz val="12"/>
        <rFont val="Arial"/>
        <family val="2"/>
      </rPr>
      <t>n</t>
    </r>
  </si>
  <si>
    <t>Bodenkenngrößen</t>
  </si>
  <si>
    <r>
      <t>c</t>
    </r>
    <r>
      <rPr>
        <b/>
        <vertAlign val="subscript"/>
        <sz val="10"/>
        <rFont val="Arial"/>
        <family val="2"/>
      </rPr>
      <t>hi</t>
    </r>
    <r>
      <rPr>
        <b/>
        <sz val="10"/>
        <rFont val="Arial"/>
        <family val="2"/>
      </rPr>
      <t xml:space="preserve"> (= PW/2)</t>
    </r>
  </si>
  <si>
    <t>grüne Felder: Regressionskoeffizienten Bericht BGR/2005 [6]</t>
  </si>
  <si>
    <r>
      <t>1</t>
    </r>
    <r>
      <rPr>
        <sz val="10"/>
        <rFont val="Arial"/>
        <family val="0"/>
      </rPr>
      <t>Vorgabewert:10*PW</t>
    </r>
  </si>
  <si>
    <r>
      <t>1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si</t>
    </r>
    <r>
      <rPr>
        <b/>
        <sz val="10"/>
        <rFont val="Arial"/>
        <family val="2"/>
      </rPr>
      <t>(=Quellk.)</t>
    </r>
  </si>
  <si>
    <t>Verwendung substratübergreifender Sorptionsisothermen n. Bericht BGR/2005 [6]</t>
  </si>
  <si>
    <r>
      <t>k</t>
    </r>
    <r>
      <rPr>
        <b/>
        <vertAlign val="subscript"/>
        <sz val="12"/>
        <rFont val="Arial"/>
        <family val="2"/>
      </rPr>
      <t>d</t>
    </r>
    <r>
      <rPr>
        <b/>
        <sz val="12"/>
        <rFont val="Arial"/>
        <family val="2"/>
      </rPr>
      <t>= C</t>
    </r>
    <r>
      <rPr>
        <b/>
        <vertAlign val="subscript"/>
        <sz val="12"/>
        <rFont val="Arial"/>
        <family val="2"/>
      </rPr>
      <t>org</t>
    </r>
    <r>
      <rPr>
        <b/>
        <sz val="12"/>
        <rFont val="Arial"/>
        <family val="2"/>
      </rPr>
      <t>*K</t>
    </r>
    <r>
      <rPr>
        <b/>
        <vertAlign val="subscript"/>
        <sz val="12"/>
        <rFont val="Arial"/>
        <family val="2"/>
      </rPr>
      <t>oc</t>
    </r>
  </si>
  <si>
    <t>Prüfwerte für den Wirkungspfad Boden-Grundwasser</t>
  </si>
  <si>
    <t xml:space="preserve"> nach Anhang 2 Nr. 3.1 BBodSchV</t>
  </si>
  <si>
    <t>Transportbetrachtung Fallkonstellation A</t>
  </si>
  <si>
    <t>Transportbetrachtung Fallkonstellation B</t>
  </si>
  <si>
    <r>
      <t>J</t>
    </r>
    <r>
      <rPr>
        <b/>
        <vertAlign val="subscript"/>
        <sz val="10"/>
        <color indexed="10"/>
        <rFont val="Arial"/>
        <family val="2"/>
      </rPr>
      <t>s1</t>
    </r>
    <r>
      <rPr>
        <b/>
        <sz val="10"/>
        <color indexed="10"/>
        <rFont val="Arial"/>
        <family val="2"/>
      </rPr>
      <t>(0)</t>
    </r>
  </si>
  <si>
    <r>
      <t>c</t>
    </r>
    <r>
      <rPr>
        <b/>
        <vertAlign val="subscript"/>
        <sz val="10"/>
        <rFont val="Arial"/>
        <family val="2"/>
      </rPr>
      <t>s1</t>
    </r>
    <r>
      <rPr>
        <b/>
        <sz val="10"/>
        <rFont val="Arial"/>
        <family val="2"/>
      </rPr>
      <t>(0)</t>
    </r>
  </si>
  <si>
    <r>
      <t>c</t>
    </r>
    <r>
      <rPr>
        <b/>
        <vertAlign val="subscript"/>
        <sz val="10"/>
        <rFont val="Arial"/>
        <family val="2"/>
      </rPr>
      <t>s1</t>
    </r>
    <r>
      <rPr>
        <b/>
        <sz val="10"/>
        <rFont val="Arial"/>
        <family val="2"/>
      </rPr>
      <t>(∞)</t>
    </r>
  </si>
  <si>
    <r>
      <t>D</t>
    </r>
    <r>
      <rPr>
        <b/>
        <vertAlign val="subscript"/>
        <sz val="10"/>
        <color indexed="10"/>
        <rFont val="Arial"/>
        <family val="2"/>
      </rPr>
      <t>z</t>
    </r>
  </si>
  <si>
    <r>
      <t>a</t>
    </r>
    <r>
      <rPr>
        <b/>
        <vertAlign val="subscript"/>
        <sz val="10"/>
        <color indexed="10"/>
        <rFont val="Arial"/>
        <family val="2"/>
      </rPr>
      <t>z</t>
    </r>
  </si>
  <si>
    <t>Dispersivitäts-Skalenfaktor</t>
  </si>
  <si>
    <r>
      <t>f</t>
    </r>
    <r>
      <rPr>
        <b/>
        <vertAlign val="subscript"/>
        <sz val="10"/>
        <rFont val="Arial"/>
        <family val="2"/>
      </rPr>
      <t>d</t>
    </r>
  </si>
  <si>
    <r>
      <t>k</t>
    </r>
    <r>
      <rPr>
        <b/>
        <vertAlign val="subscript"/>
        <sz val="10"/>
        <rFont val="Arial"/>
        <family val="2"/>
      </rPr>
      <t>d</t>
    </r>
  </si>
  <si>
    <r>
      <t>c</t>
    </r>
    <r>
      <rPr>
        <vertAlign val="subscript"/>
        <sz val="14"/>
        <rFont val="Arial"/>
        <family val="2"/>
      </rPr>
      <t>max</t>
    </r>
  </si>
  <si>
    <r>
      <t>t</t>
    </r>
    <r>
      <rPr>
        <vertAlign val="subscript"/>
        <sz val="14"/>
        <rFont val="Arial"/>
        <family val="2"/>
      </rPr>
      <t>cmax</t>
    </r>
  </si>
  <si>
    <r>
      <t>t</t>
    </r>
    <r>
      <rPr>
        <vertAlign val="subscript"/>
        <sz val="14"/>
        <rFont val="Arial"/>
        <family val="2"/>
      </rPr>
      <t>pwü</t>
    </r>
  </si>
  <si>
    <r>
      <t>t</t>
    </r>
    <r>
      <rPr>
        <vertAlign val="subscript"/>
        <sz val="14"/>
        <rFont val="Arial"/>
        <family val="2"/>
      </rPr>
      <t>pwu</t>
    </r>
  </si>
  <si>
    <r>
      <t>t</t>
    </r>
    <r>
      <rPr>
        <vertAlign val="subscript"/>
        <sz val="14"/>
        <rFont val="Arial"/>
        <family val="2"/>
      </rPr>
      <t>pw</t>
    </r>
  </si>
  <si>
    <r>
      <t>CN</t>
    </r>
    <r>
      <rPr>
        <vertAlign val="subscript"/>
        <sz val="12"/>
        <rFont val="Arial"/>
        <family val="2"/>
      </rPr>
      <t>lfr</t>
    </r>
  </si>
  <si>
    <r>
      <t>CN</t>
    </r>
    <r>
      <rPr>
        <vertAlign val="subscript"/>
        <sz val="12"/>
        <rFont val="Arial"/>
        <family val="2"/>
      </rPr>
      <t>ges</t>
    </r>
  </si>
  <si>
    <r>
      <t>Cr</t>
    </r>
    <r>
      <rPr>
        <vertAlign val="subscript"/>
        <sz val="12"/>
        <rFont val="Arial"/>
        <family val="2"/>
      </rPr>
      <t>ges</t>
    </r>
  </si>
  <si>
    <t>ges. Schadstoffeintrag GW</t>
  </si>
  <si>
    <t>Zeitpunkt  der max. Konz.</t>
  </si>
  <si>
    <t>Zeitpunkt der max. Konz.</t>
  </si>
  <si>
    <t>g/a</t>
  </si>
  <si>
    <t>Konzentrations- und Frachtentwicklung im Prognosezeitraum</t>
  </si>
  <si>
    <t>(mikro_g/l)</t>
  </si>
  <si>
    <t>(g/a)</t>
  </si>
  <si>
    <r>
      <t>E</t>
    </r>
    <r>
      <rPr>
        <vertAlign val="subscript"/>
        <sz val="14"/>
        <rFont val="Arial"/>
        <family val="2"/>
      </rPr>
      <t>s2ges</t>
    </r>
  </si>
  <si>
    <r>
      <t>E</t>
    </r>
    <r>
      <rPr>
        <vertAlign val="subscript"/>
        <sz val="14"/>
        <rFont val="Arial"/>
        <family val="2"/>
      </rPr>
      <t>s2max</t>
    </r>
  </si>
  <si>
    <t>Konzentrations- und Frachtberechnung am OdB</t>
  </si>
  <si>
    <r>
      <t>E</t>
    </r>
    <r>
      <rPr>
        <vertAlign val="subscript"/>
        <sz val="14"/>
        <rFont val="Arial"/>
        <family val="2"/>
      </rPr>
      <t>s2mittel</t>
    </r>
  </si>
  <si>
    <t>max. Emissionsstärke</t>
  </si>
  <si>
    <r>
      <t>J</t>
    </r>
    <r>
      <rPr>
        <vertAlign val="subscript"/>
        <sz val="14"/>
        <rFont val="Arial"/>
        <family val="2"/>
      </rPr>
      <t>s2max</t>
    </r>
  </si>
  <si>
    <t>mittl. Fracht</t>
  </si>
  <si>
    <t>max. Fracht</t>
  </si>
  <si>
    <r>
      <t>mg/(m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*a)</t>
    </r>
  </si>
  <si>
    <t>lin. Verteilungskoeff.</t>
  </si>
  <si>
    <t>long. Disp.koeff.</t>
  </si>
  <si>
    <t>Sickerwassergeschw.</t>
  </si>
  <si>
    <t>Emissionsverhalten der Quelle</t>
  </si>
  <si>
    <t>Quellkonzentration</t>
  </si>
  <si>
    <t xml:space="preserve">Quellkonzentration initial </t>
  </si>
  <si>
    <t>ALA-UA</t>
  </si>
  <si>
    <t>Bearbeiter:</t>
  </si>
  <si>
    <t>Projekt:</t>
  </si>
  <si>
    <t>Datum:</t>
  </si>
  <si>
    <r>
      <t>g/m</t>
    </r>
    <r>
      <rPr>
        <b/>
        <vertAlign val="superscript"/>
        <sz val="10"/>
        <color indexed="10"/>
        <rFont val="Arial"/>
        <family val="2"/>
      </rPr>
      <t>2</t>
    </r>
  </si>
  <si>
    <t>Mineralölkohlenwasserstoffe</t>
  </si>
  <si>
    <t>Cyanid, leicht freisetzbar</t>
  </si>
  <si>
    <t>PCB, gesamt</t>
  </si>
  <si>
    <r>
      <t>PCB</t>
    </r>
    <r>
      <rPr>
        <vertAlign val="subscript"/>
        <sz val="12"/>
        <rFont val="Arial"/>
        <family val="2"/>
      </rPr>
      <t>ges</t>
    </r>
  </si>
  <si>
    <t>PAK, gesamt</t>
  </si>
  <si>
    <r>
      <t>PAK</t>
    </r>
    <r>
      <rPr>
        <vertAlign val="subscript"/>
        <sz val="12"/>
        <rFont val="Arial"/>
        <family val="2"/>
      </rPr>
      <t>ges</t>
    </r>
  </si>
  <si>
    <t>Naphthalin</t>
  </si>
  <si>
    <t>Acenaphthen</t>
  </si>
  <si>
    <t>Acenaphthylen</t>
  </si>
  <si>
    <t>p</t>
  </si>
  <si>
    <t>a1</t>
  </si>
  <si>
    <t>a2</t>
  </si>
  <si>
    <t>a3</t>
  </si>
  <si>
    <t>a4</t>
  </si>
  <si>
    <t>a5</t>
  </si>
  <si>
    <t>a1t</t>
  </si>
  <si>
    <t>a2t</t>
  </si>
  <si>
    <t>a3t</t>
  </si>
  <si>
    <t>a4t</t>
  </si>
  <si>
    <t>a5t</t>
  </si>
  <si>
    <t>exp_x</t>
  </si>
  <si>
    <t>sum_at</t>
  </si>
  <si>
    <t>e_h7</t>
  </si>
  <si>
    <t>e_h8</t>
  </si>
  <si>
    <t>e_h9</t>
  </si>
  <si>
    <t>e_exp4</t>
  </si>
  <si>
    <t>e_sum1</t>
  </si>
  <si>
    <t>e_sum2</t>
  </si>
  <si>
    <r>
      <t>Imaginäre Zahlen (Ja/</t>
    </r>
    <r>
      <rPr>
        <b/>
        <sz val="10"/>
        <color indexed="39"/>
        <rFont val="Arial"/>
        <family val="2"/>
      </rPr>
      <t>Nein</t>
    </r>
    <r>
      <rPr>
        <b/>
        <sz val="10"/>
        <color indexed="10"/>
        <rFont val="Arial"/>
        <family val="2"/>
      </rPr>
      <t>)</t>
    </r>
  </si>
  <si>
    <t xml:space="preserve">Die Eingabe der Feldkapazität in den Blättern Fall A bzw. Fall B erfolgt als Volumenanteil in %. </t>
  </si>
  <si>
    <t>Bodenart</t>
  </si>
  <si>
    <t>Ss</t>
  </si>
  <si>
    <t>Sl2</t>
  </si>
  <si>
    <t>Sl3</t>
  </si>
  <si>
    <t>Slu</t>
  </si>
  <si>
    <t>St2</t>
  </si>
  <si>
    <t>St3</t>
  </si>
  <si>
    <t>Su2</t>
  </si>
  <si>
    <t>Su3</t>
  </si>
  <si>
    <t>Su4</t>
  </si>
  <si>
    <t>Ls2</t>
  </si>
  <si>
    <t>Ls3</t>
  </si>
  <si>
    <t>Ls4</t>
  </si>
  <si>
    <t>Lt2</t>
  </si>
  <si>
    <t>Lt3</t>
  </si>
  <si>
    <t>Lts</t>
  </si>
  <si>
    <t>Lu</t>
  </si>
  <si>
    <t>Uu</t>
  </si>
  <si>
    <t>Uls</t>
  </si>
  <si>
    <t>Us</t>
  </si>
  <si>
    <t>Ut2</t>
  </si>
  <si>
    <t>Ut3</t>
  </si>
  <si>
    <t>Ut4</t>
  </si>
  <si>
    <t>Tt</t>
  </si>
  <si>
    <t>Tu2</t>
  </si>
  <si>
    <t>Tu3</t>
  </si>
  <si>
    <t>Tu4</t>
  </si>
  <si>
    <t>Ts2</t>
  </si>
  <si>
    <t>Ts3</t>
  </si>
  <si>
    <t>Ts4</t>
  </si>
  <si>
    <t>Sande</t>
  </si>
  <si>
    <t xml:space="preserve">fS, fSms, fSgs </t>
  </si>
  <si>
    <t>mS, mSfs, mSgs</t>
  </si>
  <si>
    <t>gS</t>
  </si>
  <si>
    <r>
      <t>(kg/dm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</si>
  <si>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(Vol %)</t>
  </si>
  <si>
    <t>Humusgehalt</t>
  </si>
  <si>
    <t>(Masse %)</t>
  </si>
  <si>
    <t>Korngröße&gt;2 mm</t>
  </si>
  <si>
    <t xml:space="preserve">Zuschlag </t>
  </si>
  <si>
    <t xml:space="preserve">Bei Böden mit organischem Gehalt wird die Feldkapazität um einen Zuschlag entsprechend Tab. 72/KA 5 erhöht.   </t>
  </si>
  <si>
    <r>
      <t>r</t>
    </r>
    <r>
      <rPr>
        <b/>
        <sz val="10"/>
        <rFont val="Arial"/>
        <family val="0"/>
      </rPr>
      <t>t</t>
    </r>
  </si>
  <si>
    <t>Sl4</t>
  </si>
  <si>
    <t>n. Tab. 70</t>
  </si>
  <si>
    <t>n. Tab. 72</t>
  </si>
  <si>
    <t xml:space="preserve">&gt; 1,8, für Reinsande &gt;2,5) gebunden ist. </t>
  </si>
  <si>
    <t xml:space="preserve">Sie entspricht der Wassermenge, die in Poren mit einem Äquivalentdurchmesser von 50 mm (entsprechend einer Saugspannung pF </t>
  </si>
  <si>
    <t>Die Feldkapazität ist neben der Bodenart von der Trockenrohdichte  abhängig. Es ist die Klasseneinteilung nach Tab. 21/KA 5 zugrunde gelegt.</t>
  </si>
  <si>
    <t>Der Zuschlag ist abhängig vom Humusgehalt, es ist die Klasseneinteilung nach Tab. 15/KA 5 zugrunde gelegt.</t>
  </si>
  <si>
    <t>grüne Felder: Bodenarten nach KA 5</t>
  </si>
  <si>
    <t>gelbe Felder: Eingabefelder (mit Vorgabewerten)</t>
  </si>
  <si>
    <t>Hexen</t>
  </si>
  <si>
    <t>Alkane</t>
  </si>
  <si>
    <t>Penten</t>
  </si>
  <si>
    <t>Hepten</t>
  </si>
  <si>
    <t>i-Pentan</t>
  </si>
  <si>
    <t>Alkene</t>
  </si>
  <si>
    <t>Trimethylbenzol</t>
  </si>
  <si>
    <t>Aromaten</t>
  </si>
  <si>
    <t>n-Pentan</t>
  </si>
  <si>
    <t>Cyclopentan</t>
  </si>
  <si>
    <t>Cyclohexan</t>
  </si>
  <si>
    <t>Cycloheptan</t>
  </si>
  <si>
    <t>n-Hexan</t>
  </si>
  <si>
    <t>n-Decan</t>
  </si>
  <si>
    <t>halogenierte Alkene</t>
  </si>
  <si>
    <t>halogenierte Alkane</t>
  </si>
  <si>
    <t>Pentachlorphenol</t>
  </si>
  <si>
    <t>Nitroaromaten</t>
  </si>
  <si>
    <t>Nitrobenzol</t>
  </si>
  <si>
    <t>Dichlormethan</t>
  </si>
  <si>
    <t>Chlorethan</t>
  </si>
  <si>
    <t>Indol</t>
  </si>
  <si>
    <t>Benzofuran</t>
  </si>
  <si>
    <t>Benzothiophen</t>
  </si>
  <si>
    <t>Chinolin</t>
  </si>
  <si>
    <t>Acridin</t>
  </si>
  <si>
    <t>Carbazol</t>
  </si>
  <si>
    <t>Dibenzofuran</t>
  </si>
  <si>
    <t>Dibenzothiophen</t>
  </si>
  <si>
    <t>NSO-Heterocyclen</t>
  </si>
  <si>
    <r>
      <t>lineares Sorptionsmodell: c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>=k</t>
    </r>
    <r>
      <rPr>
        <b/>
        <vertAlign val="subscript"/>
        <sz val="12"/>
        <rFont val="Arial"/>
        <family val="2"/>
      </rPr>
      <t>d</t>
    </r>
    <r>
      <rPr>
        <b/>
        <sz val="12"/>
        <rFont val="Arial"/>
        <family val="2"/>
      </rPr>
      <t>*c</t>
    </r>
    <r>
      <rPr>
        <b/>
        <vertAlign val="subscript"/>
        <sz val="12"/>
        <rFont val="Arial"/>
        <family val="2"/>
      </rPr>
      <t>w</t>
    </r>
  </si>
  <si>
    <t>i-Heptan</t>
  </si>
  <si>
    <t>n-Heptan</t>
  </si>
  <si>
    <t>Indan</t>
  </si>
  <si>
    <t>Xylol (Mittelwert, o,m,p)</t>
  </si>
  <si>
    <t>Trichlorethan (1,1,2)</t>
  </si>
  <si>
    <t>Fluoranthen</t>
  </si>
  <si>
    <t>Dichlorbenzol (1,2)</t>
  </si>
  <si>
    <t>Trichlorbenzol (1,2,4)</t>
  </si>
  <si>
    <t>Dinitrotoluol (3,5)</t>
  </si>
  <si>
    <t>Chlorphenol (2)</t>
  </si>
  <si>
    <t>Dichlorphenol (2,4)</t>
  </si>
  <si>
    <t>Trichlorphenol (2,4,6)</t>
  </si>
  <si>
    <t>Pentachlorbiphenyl</t>
  </si>
  <si>
    <t>PSM</t>
  </si>
  <si>
    <t>Atrazin</t>
  </si>
  <si>
    <t>Simazin</t>
  </si>
  <si>
    <t>Bromacil</t>
  </si>
  <si>
    <t>Mecoprop</t>
  </si>
  <si>
    <t>Chlordan</t>
  </si>
  <si>
    <t>Dichlorvos</t>
  </si>
  <si>
    <t>Desethylatrazin</t>
  </si>
  <si>
    <t>Hexazinon</t>
  </si>
  <si>
    <t>Diuron</t>
  </si>
  <si>
    <t>Propazin</t>
  </si>
  <si>
    <t>Desisopropylatrazin</t>
  </si>
  <si>
    <t>Bentazon</t>
  </si>
  <si>
    <t>Isoproturon</t>
  </si>
  <si>
    <t>Kresol (m)</t>
  </si>
  <si>
    <t>Dichlorethan (1,2)</t>
  </si>
  <si>
    <t>Styrol</t>
  </si>
  <si>
    <t>Cumol</t>
  </si>
  <si>
    <t>Organozinn-Verbindungen</t>
  </si>
  <si>
    <t>Dibutylzinn</t>
  </si>
  <si>
    <t>Tributylzinn</t>
  </si>
  <si>
    <t>STV</t>
  </si>
  <si>
    <t>Triphenylzinn (Ion)</t>
  </si>
  <si>
    <t>Nitropenta</t>
  </si>
  <si>
    <t>2-Nitrotoluol</t>
  </si>
  <si>
    <t>Hexogen</t>
  </si>
  <si>
    <t>Hexyl</t>
  </si>
  <si>
    <t>Tetryl</t>
  </si>
  <si>
    <t>Octogen</t>
  </si>
  <si>
    <t>GFS nach LAWA (Dez., 2004)</t>
  </si>
  <si>
    <t>Barium</t>
  </si>
  <si>
    <t>Ba</t>
  </si>
  <si>
    <t>Bor</t>
  </si>
  <si>
    <t>B</t>
  </si>
  <si>
    <t>Chrom (Cr III)</t>
  </si>
  <si>
    <t>Cr (III)</t>
  </si>
  <si>
    <t>Thallium</t>
  </si>
  <si>
    <t>Vanadium</t>
  </si>
  <si>
    <t>V</t>
  </si>
  <si>
    <t>Chlorid</t>
  </si>
  <si>
    <r>
      <t>Cl</t>
    </r>
    <r>
      <rPr>
        <vertAlign val="superscript"/>
        <sz val="12"/>
        <rFont val="Arial"/>
        <family val="2"/>
      </rPr>
      <t>-</t>
    </r>
  </si>
  <si>
    <t>mg/l</t>
  </si>
  <si>
    <t>Cyanid</t>
  </si>
  <si>
    <r>
      <t>CN</t>
    </r>
    <r>
      <rPr>
        <vertAlign val="superscript"/>
        <sz val="12"/>
        <rFont val="Arial"/>
        <family val="2"/>
      </rPr>
      <t>-</t>
    </r>
  </si>
  <si>
    <r>
      <t>F</t>
    </r>
    <r>
      <rPr>
        <vertAlign val="superscript"/>
        <sz val="12"/>
        <rFont val="Arial"/>
        <family val="2"/>
      </rPr>
      <t>-</t>
    </r>
  </si>
  <si>
    <t>Sulfat</t>
  </si>
  <si>
    <r>
      <t>SO4</t>
    </r>
    <r>
      <rPr>
        <vertAlign val="superscript"/>
        <sz val="12"/>
        <rFont val="Arial"/>
        <family val="2"/>
      </rPr>
      <t>2-</t>
    </r>
  </si>
  <si>
    <t>Anhang 2/Teil 1</t>
  </si>
  <si>
    <t>Anhang 2/Teil 2</t>
  </si>
  <si>
    <t>Anorganische Parameter</t>
  </si>
  <si>
    <t>Organische Parameter</t>
  </si>
  <si>
    <r>
      <t>S</t>
    </r>
    <r>
      <rPr>
        <sz val="12"/>
        <rFont val="Arial"/>
        <family val="0"/>
      </rPr>
      <t xml:space="preserve"> PAK</t>
    </r>
  </si>
  <si>
    <t>Benzo(k)fluoranthen</t>
  </si>
  <si>
    <t>Benzo(ghi)perylen</t>
  </si>
  <si>
    <t>Indeno(123-cd)pyren</t>
  </si>
  <si>
    <t>Dibenzo(a,h)anthracen</t>
  </si>
  <si>
    <t>Benzo(b)fluoranthen</t>
  </si>
  <si>
    <r>
      <t>S</t>
    </r>
    <r>
      <rPr>
        <sz val="12"/>
        <rFont val="Arial"/>
        <family val="0"/>
      </rPr>
      <t xml:space="preserve"> Naphthalin u. Methylnapthalin</t>
    </r>
  </si>
  <si>
    <r>
      <t>S</t>
    </r>
    <r>
      <rPr>
        <sz val="12"/>
        <rFont val="Arial"/>
        <family val="0"/>
      </rPr>
      <t xml:space="preserve"> LHKW</t>
    </r>
  </si>
  <si>
    <r>
      <t>S</t>
    </r>
    <r>
      <rPr>
        <sz val="12"/>
        <rFont val="Arial"/>
        <family val="0"/>
      </rPr>
      <t xml:space="preserve"> Tri- und Tetrachlorethen</t>
    </r>
  </si>
  <si>
    <t>1,2 Dichlorethan</t>
  </si>
  <si>
    <t>Chlorethen</t>
  </si>
  <si>
    <t>VC</t>
  </si>
  <si>
    <t>Tri,Per</t>
  </si>
  <si>
    <r>
      <t>S</t>
    </r>
    <r>
      <rPr>
        <sz val="12"/>
        <rFont val="Arial"/>
        <family val="0"/>
      </rPr>
      <t xml:space="preserve"> PCB</t>
    </r>
  </si>
  <si>
    <t>KW</t>
  </si>
  <si>
    <t>Kohlenwasserstoffe (C10-C40)</t>
  </si>
  <si>
    <r>
      <t>S</t>
    </r>
    <r>
      <rPr>
        <sz val="12"/>
        <rFont val="Arial"/>
        <family val="0"/>
      </rPr>
      <t xml:space="preserve"> Alkylierte Benzole</t>
    </r>
  </si>
  <si>
    <t>Nonylphenol</t>
  </si>
  <si>
    <r>
      <t>S</t>
    </r>
    <r>
      <rPr>
        <sz val="12"/>
        <rFont val="Arial"/>
        <family val="0"/>
      </rPr>
      <t xml:space="preserve"> Chlorphenole</t>
    </r>
  </si>
  <si>
    <t>Hexachlorbenzol</t>
  </si>
  <si>
    <t>HCB</t>
  </si>
  <si>
    <r>
      <t>S</t>
    </r>
    <r>
      <rPr>
        <sz val="12"/>
        <rFont val="Arial"/>
        <family val="0"/>
      </rPr>
      <t xml:space="preserve"> Chlorbenzole</t>
    </r>
  </si>
  <si>
    <t>Epichlorhydrin</t>
  </si>
  <si>
    <t>Anhang 2/Teil 3</t>
  </si>
  <si>
    <r>
      <t>S</t>
    </r>
    <r>
      <rPr>
        <sz val="12"/>
        <rFont val="Arial"/>
        <family val="0"/>
      </rPr>
      <t xml:space="preserve"> PSMBP</t>
    </r>
  </si>
  <si>
    <t>Pflanzenschutzmittel und Biozide</t>
  </si>
  <si>
    <t>PSMBP Einzelstoff</t>
  </si>
  <si>
    <t>Azinphos-methyl</t>
  </si>
  <si>
    <t>Dieldrin</t>
  </si>
  <si>
    <t>Endosulfan</t>
  </si>
  <si>
    <t>Etrimfos</t>
  </si>
  <si>
    <t>Fenthion</t>
  </si>
  <si>
    <t>Parathion-ethyl</t>
  </si>
  <si>
    <t>Disulfoton</t>
  </si>
  <si>
    <t>Malathion</t>
  </si>
  <si>
    <t>Parathion-methyl</t>
  </si>
  <si>
    <t>Mevinphos</t>
  </si>
  <si>
    <t>Phoxim</t>
  </si>
  <si>
    <t>Triazophos</t>
  </si>
  <si>
    <t>Trifluralin</t>
  </si>
  <si>
    <t>Heptachlor</t>
  </si>
  <si>
    <t>Heptachlorepoxid</t>
  </si>
  <si>
    <t>Trichlorphon</t>
  </si>
  <si>
    <t>Triphenylzinnverbindungen</t>
  </si>
  <si>
    <t>Dibutylzinnverbindungen</t>
  </si>
  <si>
    <t>Sprengstofftypische Verb.</t>
  </si>
  <si>
    <t>PETN</t>
  </si>
  <si>
    <t>3-Nitrotoluol</t>
  </si>
  <si>
    <t>4-Nitrotoluol</t>
  </si>
  <si>
    <t>2-Amino-4,6-Dinitrotoluol</t>
  </si>
  <si>
    <t>4-Amino-2,6-Dinitrotoluol</t>
  </si>
  <si>
    <t>2,4-Dinitrotoluol</t>
  </si>
  <si>
    <t>2,6-Dinitrotoluol</t>
  </si>
  <si>
    <t>2,4,6-Trinitrotoluol</t>
  </si>
  <si>
    <t>TNT</t>
  </si>
  <si>
    <t>2,4,6-Trinitrophenol (Pikrinsäure)</t>
  </si>
  <si>
    <t>TNP</t>
  </si>
  <si>
    <t>1,3,5-Trinitrobenzol</t>
  </si>
  <si>
    <t>1,3-Dinitrobenzol</t>
  </si>
  <si>
    <t xml:space="preserve">Hexanitrodiphenylamin </t>
  </si>
  <si>
    <t>2-Nitrophenol</t>
  </si>
  <si>
    <t>Fenitrothion</t>
  </si>
  <si>
    <t>Dinitrotoluol (2,4)</t>
  </si>
  <si>
    <t>Dinitrotoluol (2,6)</t>
  </si>
  <si>
    <t>a (pH)</t>
  </si>
  <si>
    <t>PW/GFS</t>
  </si>
  <si>
    <t>Prüfwert BBodSchV/GFS</t>
  </si>
  <si>
    <t>Buten</t>
  </si>
  <si>
    <t>Octen</t>
  </si>
  <si>
    <t>Nonen</t>
  </si>
  <si>
    <t>Decen</t>
  </si>
  <si>
    <t>Cyclooctan</t>
  </si>
  <si>
    <t>i-Butan</t>
  </si>
  <si>
    <t>n-Butan</t>
  </si>
  <si>
    <t>i-Hexan</t>
  </si>
  <si>
    <t>n-Octan</t>
  </si>
  <si>
    <t>i-Octan</t>
  </si>
  <si>
    <t>n-Nonan</t>
  </si>
  <si>
    <t>n-Tetradekan</t>
  </si>
  <si>
    <t>n-Dodedekan</t>
  </si>
  <si>
    <t>n-Octadecan</t>
  </si>
  <si>
    <t>n-Eikosan</t>
  </si>
  <si>
    <t>n-Hexadecan</t>
  </si>
  <si>
    <t>Gruppe/Name</t>
  </si>
  <si>
    <t>Formel</t>
  </si>
  <si>
    <t>Molgew.</t>
  </si>
  <si>
    <t>(g/mol)</t>
  </si>
  <si>
    <t>CAS-Nr</t>
  </si>
  <si>
    <t>Dampfdruck</t>
  </si>
  <si>
    <t>(mm Hg)</t>
  </si>
  <si>
    <t>Löslichkeit</t>
  </si>
  <si>
    <t>(mg(l)</t>
  </si>
  <si>
    <t>C4H10</t>
  </si>
  <si>
    <t>106-97-8</t>
  </si>
  <si>
    <t>(25°C)</t>
  </si>
  <si>
    <t>75-28-5</t>
  </si>
  <si>
    <t>C5H12</t>
  </si>
  <si>
    <t>109-66-0</t>
  </si>
  <si>
    <t>78-78-4</t>
  </si>
  <si>
    <t>Log (Koc)</t>
  </si>
  <si>
    <t>C5H10</t>
  </si>
  <si>
    <t>287-92-3</t>
  </si>
  <si>
    <t>C6H14</t>
  </si>
  <si>
    <t>110-54-3</t>
  </si>
  <si>
    <t>Summen-</t>
  </si>
  <si>
    <t>107-83-5</t>
  </si>
  <si>
    <t>110-82-7</t>
  </si>
  <si>
    <t>C6H12</t>
  </si>
  <si>
    <t>C7H16</t>
  </si>
  <si>
    <t>142-82-5</t>
  </si>
  <si>
    <t>C7H14</t>
  </si>
  <si>
    <t>291-64-5</t>
  </si>
  <si>
    <t>C8H18</t>
  </si>
  <si>
    <t>111-65-9</t>
  </si>
  <si>
    <t>540-84-1</t>
  </si>
  <si>
    <t>C9H20</t>
  </si>
  <si>
    <t>111-84-2</t>
  </si>
  <si>
    <t>C10H22</t>
  </si>
  <si>
    <t>124-18-5</t>
  </si>
  <si>
    <t>C12H26</t>
  </si>
  <si>
    <t>112-40-3</t>
  </si>
  <si>
    <t>C14H30</t>
  </si>
  <si>
    <t>629-59-4</t>
  </si>
  <si>
    <t>C16H34</t>
  </si>
  <si>
    <t>544-76-3</t>
  </si>
  <si>
    <t>C18H38</t>
  </si>
  <si>
    <t>593-45-3</t>
  </si>
  <si>
    <t>C20H42</t>
  </si>
  <si>
    <t>112-95-8</t>
  </si>
  <si>
    <t>C4H8</t>
  </si>
  <si>
    <t>C8H16</t>
  </si>
  <si>
    <t>C9H18</t>
  </si>
  <si>
    <t>C10H20</t>
  </si>
  <si>
    <t>C6H6</t>
  </si>
  <si>
    <t>71-43-2</t>
  </si>
  <si>
    <t>C7H8</t>
  </si>
  <si>
    <t>108-88-3</t>
  </si>
  <si>
    <t>(-)</t>
  </si>
  <si>
    <r>
      <t>(atm-m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/mol)</t>
    </r>
  </si>
  <si>
    <t>C8H10</t>
  </si>
  <si>
    <t>100-41-4</t>
  </si>
  <si>
    <t>1330-20-7</t>
  </si>
  <si>
    <t>C9H12</t>
  </si>
  <si>
    <t>Propylbenzol</t>
  </si>
  <si>
    <t>Ethyltoluol</t>
  </si>
  <si>
    <t>620-24-4</t>
  </si>
  <si>
    <t>103-65-1</t>
  </si>
  <si>
    <t>C8H8</t>
  </si>
  <si>
    <t>100-42-5</t>
  </si>
  <si>
    <t>Aromaten/Alkyl-Aromaten</t>
  </si>
  <si>
    <t>98-82-8</t>
  </si>
  <si>
    <t>C5H12O</t>
  </si>
  <si>
    <t>1634-04-4</t>
  </si>
  <si>
    <t>Tetrachlorethen (PER)</t>
  </si>
  <si>
    <t>Trichlorethen (TRI)</t>
  </si>
  <si>
    <t>Vinylchlorid (VC)</t>
  </si>
  <si>
    <t>C2Cl4</t>
  </si>
  <si>
    <t>127-18-4</t>
  </si>
  <si>
    <t>C2HCl3</t>
  </si>
  <si>
    <t>79-01-6</t>
  </si>
  <si>
    <t>C2H2Cl2</t>
  </si>
  <si>
    <t>156-59-2</t>
  </si>
  <si>
    <t>C2H3Cl</t>
  </si>
  <si>
    <t>75-01-4</t>
  </si>
  <si>
    <t>CCl4</t>
  </si>
  <si>
    <t>56-23-5</t>
  </si>
  <si>
    <t>CHCl3</t>
  </si>
  <si>
    <t>67-66-3</t>
  </si>
  <si>
    <t>CH2Cl2</t>
  </si>
  <si>
    <t>75-09-2</t>
  </si>
  <si>
    <t>Chlormethan</t>
  </si>
  <si>
    <t>74-87-3</t>
  </si>
  <si>
    <t>C2H2Cl4</t>
  </si>
  <si>
    <t>79-34-5</t>
  </si>
  <si>
    <t>C2H3Cl3</t>
  </si>
  <si>
    <t>C2H4Cl2</t>
  </si>
  <si>
    <t>107-06-2</t>
  </si>
  <si>
    <t>C2H5Cl</t>
  </si>
  <si>
    <t>75-00-3</t>
  </si>
  <si>
    <t>Trichlorfluormethane</t>
  </si>
  <si>
    <t>75-69-4</t>
  </si>
  <si>
    <t>Dichlordifluormethan</t>
  </si>
  <si>
    <t>Dichlorbrommethan</t>
  </si>
  <si>
    <t>Chlordibrommethan</t>
  </si>
  <si>
    <t>75-71-8</t>
  </si>
  <si>
    <t>124-48-1</t>
  </si>
  <si>
    <t>75-27-4</t>
  </si>
  <si>
    <t>CCl3F</t>
  </si>
  <si>
    <t>CCl2F2</t>
  </si>
  <si>
    <t>CHClBr2</t>
  </si>
  <si>
    <t>CHCl2Br</t>
  </si>
  <si>
    <t>C10H8</t>
  </si>
  <si>
    <t>91-20-3</t>
  </si>
  <si>
    <t>C12H8</t>
  </si>
  <si>
    <t>208-96-8</t>
  </si>
  <si>
    <t>C12H10</t>
  </si>
  <si>
    <t>83-32-9</t>
  </si>
  <si>
    <t>C14H10</t>
  </si>
  <si>
    <t>C13H10</t>
  </si>
  <si>
    <t>86-73-7</t>
  </si>
  <si>
    <t>85-01-8</t>
  </si>
  <si>
    <t>120-12-7</t>
  </si>
  <si>
    <t>C16H10</t>
  </si>
  <si>
    <t>206-44-0</t>
  </si>
  <si>
    <t>129-00-0</t>
  </si>
  <si>
    <t>Benzo(a)anthracen</t>
  </si>
  <si>
    <t>C18H12</t>
  </si>
  <si>
    <t>218-01-9</t>
  </si>
  <si>
    <t>C20H12</t>
  </si>
  <si>
    <t>50-32-8</t>
  </si>
  <si>
    <t>205-99-2</t>
  </si>
  <si>
    <t>207-08-9</t>
  </si>
  <si>
    <t>C22H12</t>
  </si>
  <si>
    <t>191-24-2</t>
  </si>
  <si>
    <t>C22H14</t>
  </si>
  <si>
    <t>53-70-3</t>
  </si>
  <si>
    <t>193-39-5</t>
  </si>
  <si>
    <t>C9H10</t>
  </si>
  <si>
    <t>56-55-3</t>
  </si>
  <si>
    <t>Biowin 3</t>
  </si>
  <si>
    <t>Biowin 4</t>
  </si>
  <si>
    <t>120-72-9</t>
  </si>
  <si>
    <t>Inden</t>
  </si>
  <si>
    <t>C8H6O</t>
  </si>
  <si>
    <t>C8H7N</t>
  </si>
  <si>
    <t>271-89-6</t>
  </si>
  <si>
    <t>C8H6S</t>
  </si>
  <si>
    <t>95-15-8</t>
  </si>
  <si>
    <t>C9H7N</t>
  </si>
  <si>
    <t>91-22-5</t>
  </si>
  <si>
    <t>C13H9N</t>
  </si>
  <si>
    <t>260-94-6</t>
  </si>
  <si>
    <t>C12H9N</t>
  </si>
  <si>
    <t>86-74-8</t>
  </si>
  <si>
    <t>C12H8O</t>
  </si>
  <si>
    <t>132-64-9</t>
  </si>
  <si>
    <t>C12H8S</t>
  </si>
  <si>
    <t>132-65-0</t>
  </si>
  <si>
    <t>C6H5Cl</t>
  </si>
  <si>
    <t>C6H4Cl2</t>
  </si>
  <si>
    <t>95-50-1</t>
  </si>
  <si>
    <t>C6H3Cl3</t>
  </si>
  <si>
    <t>120-82-1</t>
  </si>
  <si>
    <t>C6Cl6</t>
  </si>
  <si>
    <t>118-74-1</t>
  </si>
  <si>
    <t>C6H5NO2</t>
  </si>
  <si>
    <t>98-95-3</t>
  </si>
  <si>
    <t>C6H4N2O4</t>
  </si>
  <si>
    <t>99-65-0</t>
  </si>
  <si>
    <t>C6H3N3O6</t>
  </si>
  <si>
    <t>99-35-4</t>
  </si>
  <si>
    <t>C7H7NO2</t>
  </si>
  <si>
    <t>88-72-2</t>
  </si>
  <si>
    <t>99-08-1</t>
  </si>
  <si>
    <t>99-99-0</t>
  </si>
  <si>
    <t>C7H6N2O4</t>
  </si>
  <si>
    <t>606-20-2</t>
  </si>
  <si>
    <t>121-14-2</t>
  </si>
  <si>
    <t>618-85-9</t>
  </si>
  <si>
    <t>Trinitrotoluol (TNT)</t>
  </si>
  <si>
    <t>C7H5N3O6</t>
  </si>
  <si>
    <t>118-96-7</t>
  </si>
  <si>
    <t>C6H5NO3</t>
  </si>
  <si>
    <t>88-75-5</t>
  </si>
  <si>
    <t>C6H3N3O7</t>
  </si>
  <si>
    <t>88-89-1</t>
  </si>
  <si>
    <t>C7H7N3O4</t>
  </si>
  <si>
    <t>35572-78-2</t>
  </si>
  <si>
    <t>C6H6O</t>
  </si>
  <si>
    <t>108-95-2</t>
  </si>
  <si>
    <t>C7H8O</t>
  </si>
  <si>
    <t>108-39-4</t>
  </si>
  <si>
    <t>C6H5ClO</t>
  </si>
  <si>
    <t>95-57-8</t>
  </si>
  <si>
    <t>C6H4Cl2O</t>
  </si>
  <si>
    <t>120-83-2</t>
  </si>
  <si>
    <t>C6H3Cl3O</t>
  </si>
  <si>
    <t>88-06-2</t>
  </si>
  <si>
    <t>Pentachlorphenol (PCP)</t>
  </si>
  <si>
    <t>C6HCl5O</t>
  </si>
  <si>
    <t>87-86-5</t>
  </si>
  <si>
    <t>C15H24O</t>
  </si>
  <si>
    <t>84852-15-3</t>
  </si>
  <si>
    <t>Chloraromaten</t>
  </si>
  <si>
    <t>Polychlorierte Biphenyle (PCB)</t>
  </si>
  <si>
    <t>25429-29-2</t>
  </si>
  <si>
    <t>C12H5Cl5</t>
  </si>
  <si>
    <t>C12H8Cl6</t>
  </si>
  <si>
    <t>309-00-2</t>
  </si>
  <si>
    <t>C14H9Cl5</t>
  </si>
  <si>
    <t>50-29-3</t>
  </si>
  <si>
    <t>Lindan (HCH)</t>
  </si>
  <si>
    <t>C6H6Cl6</t>
  </si>
  <si>
    <t>58-89-9</t>
  </si>
  <si>
    <t>86-50-0</t>
  </si>
  <si>
    <t>C4H7Cl2O4P</t>
  </si>
  <si>
    <t>62-73-7</t>
  </si>
  <si>
    <t>C12H8Cl6O</t>
  </si>
  <si>
    <t>60-57-1</t>
  </si>
  <si>
    <t>C9H6Cl6O3S</t>
  </si>
  <si>
    <t>115-29-7</t>
  </si>
  <si>
    <t>C10H17N2O4PS</t>
  </si>
  <si>
    <t>C10H12N3O3PS2</t>
  </si>
  <si>
    <t>38260-54-7</t>
  </si>
  <si>
    <t>C9H12NO5PS</t>
  </si>
  <si>
    <t>122-14-5</t>
  </si>
  <si>
    <t>C10H15O3PS</t>
  </si>
  <si>
    <t>55-38-9</t>
  </si>
  <si>
    <t>2,4,6-Trinitrophenol (TNP)</t>
  </si>
  <si>
    <t>C10H14NO5PS</t>
  </si>
  <si>
    <t>56-38-2</t>
  </si>
  <si>
    <t>C8H10NO5PS</t>
  </si>
  <si>
    <t>298-00-0</t>
  </si>
  <si>
    <t>C10H6Cl8</t>
  </si>
  <si>
    <t>57-74-9</t>
  </si>
  <si>
    <t>C8H19O2PS3</t>
  </si>
  <si>
    <t>298-04-4</t>
  </si>
  <si>
    <t>C10H19O6PS2</t>
  </si>
  <si>
    <t>121-75-5</t>
  </si>
  <si>
    <t>C7H13O6P</t>
  </si>
  <si>
    <t>7786-34-7</t>
  </si>
  <si>
    <t>C12H15N2O3PS</t>
  </si>
  <si>
    <t>14816-18-3</t>
  </si>
  <si>
    <t>C12H16N3O3PS</t>
  </si>
  <si>
    <t>24017-47-8</t>
  </si>
  <si>
    <t>C13H16F3N3O4</t>
  </si>
  <si>
    <t>1582-09-8</t>
  </si>
  <si>
    <t>C10H5Cl7</t>
  </si>
  <si>
    <t>76-44-8</t>
  </si>
  <si>
    <t>C6H10ClN5</t>
  </si>
  <si>
    <t>6190-65-4</t>
  </si>
  <si>
    <t>C8H14ClN5</t>
  </si>
  <si>
    <t>1912-24-9</t>
  </si>
  <si>
    <t>C9H13BrN2O2</t>
  </si>
  <si>
    <t>314-40-9</t>
  </si>
  <si>
    <t>C7H12ClN5</t>
  </si>
  <si>
    <t>122-34-9</t>
  </si>
  <si>
    <t>C12H20N4O2</t>
  </si>
  <si>
    <t>51235-04-2</t>
  </si>
  <si>
    <t>C9H10Cl2N2O</t>
  </si>
  <si>
    <t>330-54-1</t>
  </si>
  <si>
    <t>C9H16ClN5</t>
  </si>
  <si>
    <t>139-40-2</t>
  </si>
  <si>
    <t>C5H8ClN5</t>
  </si>
  <si>
    <t>1007-28-9</t>
  </si>
  <si>
    <t>C10H12N2O3S</t>
  </si>
  <si>
    <t>25057-89-0</t>
  </si>
  <si>
    <t>C10H11Cl1O3</t>
  </si>
  <si>
    <t>93-65-2</t>
  </si>
  <si>
    <t>C12H18N2O</t>
  </si>
  <si>
    <t>34123-59-6</t>
  </si>
  <si>
    <t>Picloram</t>
  </si>
  <si>
    <t>C6H3Cl3N2O2</t>
  </si>
  <si>
    <t>Gylphosat</t>
  </si>
  <si>
    <t>C3H8NO5P</t>
  </si>
  <si>
    <t>1071-83-6</t>
  </si>
  <si>
    <t>1918-02-1</t>
  </si>
  <si>
    <t>C8H18Sn</t>
  </si>
  <si>
    <t>1002-53-5</t>
  </si>
  <si>
    <t>C12H28Sn</t>
  </si>
  <si>
    <t>20763-88-6</t>
  </si>
  <si>
    <t xml:space="preserve">Tributylzinn </t>
  </si>
  <si>
    <t>C18H16Sn</t>
  </si>
  <si>
    <t>668-34-8</t>
  </si>
  <si>
    <t>C5H8N4O12</t>
  </si>
  <si>
    <t>78-11-5</t>
  </si>
  <si>
    <t>C3H6N6O6</t>
  </si>
  <si>
    <t>121-82-4</t>
  </si>
  <si>
    <t>C12H5N7O12</t>
  </si>
  <si>
    <t>131-73-7</t>
  </si>
  <si>
    <t>C7H5N5O8</t>
  </si>
  <si>
    <t>479-45-8</t>
  </si>
  <si>
    <t>C4H8N8O8</t>
  </si>
  <si>
    <t>2691-41-0</t>
  </si>
  <si>
    <t>Kampfstoffe</t>
  </si>
  <si>
    <t>Acetophenon</t>
  </si>
  <si>
    <t>Chloracetophenon</t>
  </si>
  <si>
    <t>98-86-2</t>
  </si>
  <si>
    <t>C8H8O</t>
  </si>
  <si>
    <t>C8H7ClO</t>
  </si>
  <si>
    <t>532-27-4</t>
  </si>
  <si>
    <t>Diphenylarsinchlorid (Clark I)</t>
  </si>
  <si>
    <t>C12H10ClAs</t>
  </si>
  <si>
    <t>712-48-1</t>
  </si>
  <si>
    <t>C13H10NAs</t>
  </si>
  <si>
    <t>23525-22-6</t>
  </si>
  <si>
    <t>Dichlordiethylsulfid (S-Lost)</t>
  </si>
  <si>
    <t>Adamsit</t>
  </si>
  <si>
    <t>C12H9ClNAs</t>
  </si>
  <si>
    <t>578-94-9</t>
  </si>
  <si>
    <t>Phenylarsindichlorid (Pfiffikus)</t>
  </si>
  <si>
    <t>C6H5Cl2As</t>
  </si>
  <si>
    <t>696-28-6</t>
  </si>
  <si>
    <t>Diphenylarsincyanid (Clark II)</t>
  </si>
  <si>
    <t>C4H8Cl2S</t>
  </si>
  <si>
    <t>505-60-2</t>
  </si>
  <si>
    <t>Sonstige</t>
  </si>
  <si>
    <t>C3H5ClO</t>
  </si>
  <si>
    <t>106-89-8</t>
  </si>
  <si>
    <t>C10H5Cl7O</t>
  </si>
  <si>
    <t>1024-57-3</t>
  </si>
  <si>
    <t>C4H8Cl3O4P</t>
  </si>
  <si>
    <t>52-68-6</t>
  </si>
  <si>
    <t>Luftkapazität</t>
  </si>
  <si>
    <t>Schicht-Nr</t>
  </si>
  <si>
    <t xml:space="preserve">Bodenart </t>
  </si>
  <si>
    <t>Mächtigkeit</t>
  </si>
  <si>
    <t>(m)</t>
  </si>
  <si>
    <t>(Vol-%)</t>
  </si>
  <si>
    <t>Trockenraumdichte</t>
  </si>
  <si>
    <t>Retardations-</t>
  </si>
  <si>
    <t>faktor</t>
  </si>
  <si>
    <t>lin. Verteilungs-</t>
  </si>
  <si>
    <t>koeffizient</t>
  </si>
  <si>
    <t>Summe/äquiv.</t>
  </si>
  <si>
    <t>i</t>
  </si>
  <si>
    <t>Verweilzeit</t>
  </si>
  <si>
    <t>Sickerwasser</t>
  </si>
  <si>
    <t>(a)</t>
  </si>
  <si>
    <t>tstm(i)</t>
  </si>
  <si>
    <t>R(i)</t>
  </si>
  <si>
    <t>kd(i)</t>
  </si>
  <si>
    <t>LK(i)*z(i)</t>
  </si>
  <si>
    <t>Lk(i)</t>
  </si>
  <si>
    <t>FK(i)*z(i)</t>
  </si>
  <si>
    <t>Fk(i)</t>
  </si>
  <si>
    <t>z(i)</t>
  </si>
  <si>
    <t>tsm(i)</t>
  </si>
  <si>
    <t>(mm/a)</t>
  </si>
  <si>
    <t>Parameter</t>
  </si>
  <si>
    <t>Tortuosität</t>
  </si>
  <si>
    <t>Bodenwasser</t>
  </si>
  <si>
    <t>Bodenluft</t>
  </si>
  <si>
    <t>Henry-Konstante</t>
  </si>
  <si>
    <t>H</t>
  </si>
  <si>
    <t>Diffusionskoeff. Wasser</t>
  </si>
  <si>
    <t>Temperatur</t>
  </si>
  <si>
    <t>(°C)</t>
  </si>
  <si>
    <t>Henry</t>
  </si>
  <si>
    <t>B-Faktor</t>
  </si>
  <si>
    <t>Dw</t>
  </si>
  <si>
    <t>Dg</t>
  </si>
  <si>
    <t>Äquivalente Parameter</t>
  </si>
  <si>
    <t>Sickerwassergeschwindigkeit</t>
  </si>
  <si>
    <t>Tortuosität Bodenwasser</t>
  </si>
  <si>
    <t>Tortuosität Bodenluft</t>
  </si>
  <si>
    <t>longitudinale Dispersivität</t>
  </si>
  <si>
    <t>fd</t>
  </si>
  <si>
    <t>mechanische  Dispersion</t>
  </si>
  <si>
    <t>(m/a)</t>
  </si>
  <si>
    <t>molekulare Diffusion</t>
  </si>
  <si>
    <t>Dispersion Verflüchtigung</t>
  </si>
  <si>
    <t>Dmech</t>
  </si>
  <si>
    <t>Dmol</t>
  </si>
  <si>
    <t>Dvol</t>
  </si>
  <si>
    <t>Dispersionskoeffizient</t>
  </si>
  <si>
    <t>fd-äq</t>
  </si>
  <si>
    <t>Dz-äq</t>
  </si>
  <si>
    <t>vsm-äq</t>
  </si>
  <si>
    <t>R-äq</t>
  </si>
  <si>
    <t>kd-äq</t>
  </si>
  <si>
    <t>LK-äq</t>
  </si>
  <si>
    <t>FK-äq</t>
  </si>
  <si>
    <r>
      <t>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/a)</t>
    </r>
  </si>
  <si>
    <t>HWZ</t>
  </si>
  <si>
    <t>CalTox</t>
  </si>
  <si>
    <t>Ultimate</t>
  </si>
  <si>
    <t>Primary</t>
  </si>
  <si>
    <t>Oberboden</t>
  </si>
  <si>
    <t>Wurzelzone</t>
  </si>
  <si>
    <t>unges. Zone</t>
  </si>
  <si>
    <t>Grundwasser</t>
  </si>
  <si>
    <t>Sediment</t>
  </si>
  <si>
    <t>(d)</t>
  </si>
  <si>
    <t>Methylnaphthalin</t>
  </si>
  <si>
    <t>Dimethylnaphthalin</t>
  </si>
  <si>
    <t>496-11-7</t>
  </si>
  <si>
    <t>95-13-6</t>
  </si>
  <si>
    <t>C9H8</t>
  </si>
  <si>
    <t>C12H12</t>
  </si>
  <si>
    <t>571-58-4</t>
  </si>
  <si>
    <t>C11H10</t>
  </si>
  <si>
    <t>90-12-0</t>
  </si>
  <si>
    <t>292-64-8</t>
  </si>
  <si>
    <t>1-Methylnaphthalin</t>
  </si>
  <si>
    <t>1,4-Dimethylnaphthalin</t>
  </si>
  <si>
    <t>Normal</t>
  </si>
  <si>
    <t>Super</t>
  </si>
  <si>
    <t>Super Plus</t>
  </si>
  <si>
    <t>Cycloalkane</t>
  </si>
  <si>
    <t xml:space="preserve"> Diesel</t>
  </si>
  <si>
    <t>Molgewicht</t>
  </si>
  <si>
    <t>Summe Alkane</t>
  </si>
  <si>
    <t>1,1,2,2 Tetrachlorethan</t>
  </si>
  <si>
    <t>630-20-6</t>
  </si>
  <si>
    <t>1,1,1,2 Tetrachlorethan</t>
  </si>
  <si>
    <t>Summe Alkene</t>
  </si>
  <si>
    <t>Summe Cycloalkane</t>
  </si>
  <si>
    <t xml:space="preserve">Kohlenwasserstoffe </t>
  </si>
  <si>
    <t>Mineralölprodukte</t>
  </si>
  <si>
    <t>KW-Anteil</t>
  </si>
  <si>
    <t>Ci,sat</t>
  </si>
  <si>
    <t>Summe Aromaten</t>
  </si>
  <si>
    <t>mittl. Molekulargewicht (g/mol)</t>
  </si>
  <si>
    <t>Kerosin</t>
  </si>
  <si>
    <t>Heizöl Schwer</t>
  </si>
  <si>
    <t>Heizöl EL</t>
  </si>
  <si>
    <t>Wasser-</t>
  </si>
  <si>
    <t>löslichkeit</t>
  </si>
  <si>
    <t>Rest</t>
  </si>
  <si>
    <t>nicht identifizierte Subst.</t>
  </si>
  <si>
    <t>Summe</t>
  </si>
  <si>
    <t>Pech</t>
  </si>
  <si>
    <t>Steinkohlenteer</t>
  </si>
  <si>
    <t>Rohteer</t>
  </si>
  <si>
    <t>Kreosot</t>
  </si>
  <si>
    <t>Antracen-Öl</t>
  </si>
  <si>
    <t>Diffusionskoeff. Luft</t>
  </si>
  <si>
    <t>Teerölprodukte</t>
  </si>
  <si>
    <t>ALA</t>
  </si>
  <si>
    <t>mittl. Molgewicht (g/mol)</t>
  </si>
  <si>
    <t>PAK-Anteil</t>
  </si>
  <si>
    <t>Summe 16 EPA PAK</t>
  </si>
  <si>
    <t>16 EPA PAK</t>
  </si>
  <si>
    <t>subcooled</t>
  </si>
  <si>
    <t>Daten aus Diana Loyek, 1998</t>
  </si>
  <si>
    <t>Sättigungskonzentrationen für die 16 EPA-PAK in Teerölprodukten berechnet nach Raoult</t>
  </si>
  <si>
    <t>m,p,o-Xylol</t>
  </si>
  <si>
    <t>n/i-Propylbenzol</t>
  </si>
  <si>
    <t>Summe PAK</t>
  </si>
  <si>
    <t>-</t>
  </si>
  <si>
    <t>Summe Kohlenwasserstoffe</t>
  </si>
  <si>
    <t>Sättigungskonzentrationen für Kohlenwasserstoffe in Mineralölprodukten berechnet nach Raoult</t>
  </si>
  <si>
    <t>(mgl)</t>
  </si>
  <si>
    <t>(Gew. %)</t>
  </si>
  <si>
    <t>Berechnung äquivalenter Parameter für Mehrschicht-Bodenprofil und flüchtige Stoffe</t>
  </si>
  <si>
    <t>1,2,4 Trimethylbenzol</t>
  </si>
  <si>
    <t>Trichlorethan (1,1,1)</t>
  </si>
  <si>
    <t>Halbwertszeiten für organische Schadstoffe</t>
  </si>
  <si>
    <t xml:space="preserve">Abbau 1. Ordnung </t>
  </si>
  <si>
    <t>Datenquellen</t>
  </si>
  <si>
    <t>Epi-Suite/US-EPA</t>
  </si>
  <si>
    <r>
      <t>r</t>
    </r>
    <r>
      <rPr>
        <b/>
        <sz val="10"/>
        <rFont val="Arial"/>
        <family val="0"/>
      </rPr>
      <t>b-zs-äq</t>
    </r>
  </si>
  <si>
    <r>
      <t>(kg/dm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</t>
    </r>
  </si>
  <si>
    <r>
      <t>t</t>
    </r>
    <r>
      <rPr>
        <b/>
        <sz val="10"/>
        <rFont val="Arial"/>
        <family val="0"/>
      </rPr>
      <t>w-äq</t>
    </r>
  </si>
  <si>
    <r>
      <t>t</t>
    </r>
    <r>
      <rPr>
        <b/>
        <sz val="10"/>
        <rFont val="Arial"/>
        <family val="0"/>
      </rPr>
      <t>g-äq</t>
    </r>
  </si>
  <si>
    <r>
      <t>a</t>
    </r>
    <r>
      <rPr>
        <b/>
        <sz val="10"/>
        <rFont val="Arial"/>
        <family val="0"/>
      </rPr>
      <t>z</t>
    </r>
  </si>
  <si>
    <r>
      <t>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/a)</t>
    </r>
  </si>
  <si>
    <r>
      <t>r</t>
    </r>
    <r>
      <rPr>
        <b/>
        <sz val="10"/>
        <rFont val="Arial"/>
        <family val="0"/>
      </rPr>
      <t>b(i)</t>
    </r>
  </si>
  <si>
    <r>
      <t>r</t>
    </r>
    <r>
      <rPr>
        <b/>
        <sz val="10"/>
        <rFont val="Arial"/>
        <family val="0"/>
      </rPr>
      <t>b(i)*z(i)</t>
    </r>
  </si>
  <si>
    <r>
      <t>t</t>
    </r>
    <r>
      <rPr>
        <b/>
        <sz val="10"/>
        <rFont val="Arial"/>
        <family val="0"/>
      </rPr>
      <t>w(i)</t>
    </r>
  </si>
  <si>
    <r>
      <t>t</t>
    </r>
    <r>
      <rPr>
        <b/>
        <sz val="10"/>
        <rFont val="Arial"/>
        <family val="0"/>
      </rPr>
      <t>w(i)*z(i)</t>
    </r>
  </si>
  <si>
    <r>
      <t>t</t>
    </r>
    <r>
      <rPr>
        <b/>
        <sz val="10"/>
        <rFont val="Arial"/>
        <family val="0"/>
      </rPr>
      <t>g(i)</t>
    </r>
  </si>
  <si>
    <r>
      <t>t</t>
    </r>
    <r>
      <rPr>
        <b/>
        <sz val="10"/>
        <rFont val="Arial"/>
        <family val="0"/>
      </rPr>
      <t>g(i)*z(i)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</si>
  <si>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/a</t>
    </r>
  </si>
  <si>
    <t>KA5</t>
  </si>
  <si>
    <t>gelbe Felder: Eingabefelder (Werte aus Stoffdatenbank, bzw. DGMK, Grathwohl)</t>
  </si>
  <si>
    <t>Primary Wert: nur erster  Abbauschritt</t>
  </si>
  <si>
    <t>Ultimate Wert: kompletter Abbau bis CO2</t>
  </si>
  <si>
    <t>Trocken-</t>
  </si>
  <si>
    <t>rohdichte</t>
  </si>
  <si>
    <t>Grobboden-</t>
  </si>
  <si>
    <t>Anteil</t>
  </si>
  <si>
    <t>95-63-6</t>
  </si>
  <si>
    <t>71-55-6</t>
  </si>
  <si>
    <t>Henry-</t>
  </si>
  <si>
    <t>Konstante</t>
  </si>
  <si>
    <t>bei T Spalte B</t>
  </si>
  <si>
    <t>Diffusions-</t>
  </si>
  <si>
    <t>(K)</t>
  </si>
  <si>
    <r>
      <t>k</t>
    </r>
    <r>
      <rPr>
        <b/>
        <vertAlign val="subscript"/>
        <sz val="10"/>
        <rFont val="Arial"/>
        <family val="2"/>
      </rPr>
      <t>s</t>
    </r>
  </si>
  <si>
    <t>ber. Wert</t>
  </si>
  <si>
    <t>Verdampfungs-</t>
  </si>
  <si>
    <t>enthalpie</t>
  </si>
  <si>
    <t>i-Buten</t>
  </si>
  <si>
    <t>115-11-7</t>
  </si>
  <si>
    <t>i-Penten</t>
  </si>
  <si>
    <t>513-35-9</t>
  </si>
  <si>
    <t>n-Hexen</t>
  </si>
  <si>
    <t>592-41-6</t>
  </si>
  <si>
    <t>n-Hepten</t>
  </si>
  <si>
    <t>592-76-7</t>
  </si>
  <si>
    <t>n-Octen</t>
  </si>
  <si>
    <t>111-66-0</t>
  </si>
  <si>
    <t>n-Decen</t>
  </si>
  <si>
    <t>872-05-9</t>
  </si>
  <si>
    <t>n-Nonen</t>
  </si>
  <si>
    <t>124-11-8</t>
  </si>
  <si>
    <t>591-76-4</t>
  </si>
  <si>
    <t>108-90-7</t>
  </si>
  <si>
    <t>CH3Cl</t>
  </si>
  <si>
    <t>Niederschlag</t>
  </si>
  <si>
    <t>Sand</t>
  </si>
  <si>
    <t>Bezeichnung</t>
  </si>
  <si>
    <t>S</t>
  </si>
  <si>
    <t>lehmiger Schluff</t>
  </si>
  <si>
    <t>sandiger Ton</t>
  </si>
  <si>
    <t>toniger Lehm</t>
  </si>
  <si>
    <t>Bodentypen</t>
  </si>
  <si>
    <t>Ödland</t>
  </si>
  <si>
    <t>Gras</t>
  </si>
  <si>
    <t>landw. Nutzfläche</t>
  </si>
  <si>
    <t>Wald</t>
  </si>
  <si>
    <t>Vegetationsart</t>
  </si>
  <si>
    <t>Versiegelungsgrad</t>
  </si>
  <si>
    <t>Ö</t>
  </si>
  <si>
    <t>N</t>
  </si>
  <si>
    <t>W</t>
  </si>
  <si>
    <t xml:space="preserve">Flächenanteil </t>
  </si>
  <si>
    <t>d</t>
  </si>
  <si>
    <t>c</t>
  </si>
  <si>
    <t>b</t>
  </si>
  <si>
    <t>Grundwasser-</t>
  </si>
  <si>
    <t xml:space="preserve">neubildung </t>
  </si>
  <si>
    <t>nur Eingabe von Werten aus Tab. 1 erlaubt</t>
  </si>
  <si>
    <t>uW: unzulässiger Wert</t>
  </si>
  <si>
    <t>nur zur groben Abschätzung anzuwenden!</t>
  </si>
  <si>
    <t>Tab.1: Werte nach Beims (2002)</t>
  </si>
  <si>
    <t>Chrom</t>
  </si>
  <si>
    <t>Element</t>
  </si>
  <si>
    <t>Sym</t>
  </si>
  <si>
    <t>C1</t>
  </si>
  <si>
    <t>C2</t>
  </si>
  <si>
    <t>C3</t>
  </si>
  <si>
    <t>C4</t>
  </si>
  <si>
    <t>kd-Wert</t>
  </si>
  <si>
    <r>
      <t>k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-linearisiert</t>
    </r>
  </si>
  <si>
    <t xml:space="preserve">Hinweis: eine Schicht wird berücksichtigt, wenn ein Mächtigkeitswert angegeben ist. Wenn ein Mächtigkeitswert für </t>
  </si>
  <si>
    <t xml:space="preserve">Schicht i angegeben ist, müssen auch die Parameter ausgefüllt werden. Soll die Schicht gelöscht werden, muss die  </t>
  </si>
  <si>
    <t>Abschätzung linearer  Verteilungskoeffizienten nach van den Berg &amp; Roels (1991)</t>
  </si>
  <si>
    <t>Regressionskoeffizienten</t>
  </si>
  <si>
    <t>rote Schrift: berechnete Werte der Sättigungskonzentration (zur Verwendung als Anhaltspunkt für die Quellstärke bei Kontamination mit Phase)</t>
  </si>
  <si>
    <t>Hinweis: Zur Berechnung der Sättigungskonzentrationen werden die subcooled-Löslichkeitswerte verwendet</t>
  </si>
  <si>
    <t xml:space="preserve">wichtiger Hinweis: Die Halbwertszeiten sind als Orientierung gedacht, </t>
  </si>
  <si>
    <t xml:space="preserve">sofern keine standortspezifischen Werte aus Labor-/Felduntersuchungen vorliegen </t>
  </si>
  <si>
    <t>Schadstoffkonzentration im Grundwasser</t>
  </si>
  <si>
    <t>Abstrombreite kont. Fläche</t>
  </si>
  <si>
    <t>kont. Aquifermächtigkeit</t>
  </si>
  <si>
    <t>hydr. Gefälle Grundwasser</t>
  </si>
  <si>
    <t>Durchlässigkeit Aquifer</t>
  </si>
  <si>
    <t>kf</t>
  </si>
  <si>
    <t>I</t>
  </si>
  <si>
    <t>Filtergeschwindigkeit</t>
  </si>
  <si>
    <t>GW-Volumenstrom</t>
  </si>
  <si>
    <t>max. Konzentration im GW</t>
  </si>
  <si>
    <t>mittl. Konzentration im GW</t>
  </si>
  <si>
    <t>vf</t>
  </si>
  <si>
    <t>kontaminierte Fläche</t>
  </si>
  <si>
    <t>m/s</t>
  </si>
  <si>
    <t>Berechnung der aus der in das Grundwasser emittierten Sickerwasserfracht</t>
  </si>
  <si>
    <t>resultierenden Konzentrationen im Grundwasser</t>
  </si>
  <si>
    <t xml:space="preserve">Die resultierende Konzentration entspricht der über die gewählte </t>
  </si>
  <si>
    <t>Die Werte aus den Tabellenblättern Fall A und Fall B werden automatisch übernommen</t>
  </si>
  <si>
    <t>Fall (A oder B)</t>
  </si>
  <si>
    <t>grüne Felder: aus Fall A oder Fall B übernommener Wert</t>
  </si>
  <si>
    <t>Aquifermächtigkeit gemittelten Konzentration .</t>
  </si>
  <si>
    <t>kont. Aquifermächtigkeit: &lt;= Aquifermächtigkeit</t>
  </si>
  <si>
    <t xml:space="preserve">wenn Daten vorhanden: Berechnung nach DIN 19687 bzw. TUB-BGR Verfahren </t>
  </si>
  <si>
    <t>(falls Hangneigung vorhanden, Niederschlagsmenge reduzieren)</t>
  </si>
  <si>
    <t>Sickerwasservolumenstrom</t>
  </si>
  <si>
    <t>Bodenart (KA5)</t>
  </si>
  <si>
    <r>
      <t>der k</t>
    </r>
    <r>
      <rPr>
        <b/>
        <vertAlign val="subscript"/>
        <sz val="10"/>
        <rFont val="Arial"/>
        <family val="2"/>
      </rPr>
      <t>oc</t>
    </r>
    <r>
      <rPr>
        <b/>
        <sz val="10"/>
        <rFont val="Arial"/>
        <family val="2"/>
      </rPr>
      <t>-Wert wird aus dem Tabellenblatt "Stoffdaten" übernommen</t>
    </r>
  </si>
  <si>
    <t>A</t>
  </si>
  <si>
    <t>gelbe Felder: Eingabefelder (Vorgabewert: 0,1% Corg)</t>
  </si>
  <si>
    <t>Fallbsp. 3/Basisfall</t>
  </si>
  <si>
    <t xml:space="preserve">(abh. von der Eingabe (A oder B) im Feld D15 </t>
  </si>
  <si>
    <t xml:space="preserve">Abschätzung der Sickerwasserrate/Grundwasserneubildung </t>
  </si>
  <si>
    <t>(nach Beims&amp;Gutt)</t>
  </si>
  <si>
    <t xml:space="preserve">grüne Felder: nach EPI-Suite Datenbank der US-EPA </t>
  </si>
  <si>
    <t>Molvolumen</t>
  </si>
  <si>
    <t>VB</t>
  </si>
  <si>
    <t>VB' (Le Bas)</t>
  </si>
  <si>
    <t>Luft (n. FSG)</t>
  </si>
  <si>
    <t>Wasser  (25°C)</t>
  </si>
  <si>
    <t>Wasser (n. Worch)</t>
  </si>
  <si>
    <t>Worch</t>
  </si>
  <si>
    <t>(cm3/mol)</t>
  </si>
  <si>
    <t>Glyphosat</t>
  </si>
  <si>
    <t>(J/mol)</t>
  </si>
  <si>
    <t xml:space="preserve">sind in die Eingabeblätter </t>
  </si>
  <si>
    <t>Fall A bzw. Fall B zu übertragen</t>
  </si>
  <si>
    <t>Flüchtigkeit</t>
  </si>
  <si>
    <t>Klasse</t>
  </si>
  <si>
    <t>Stoffdaten für organische Stoffe</t>
  </si>
  <si>
    <t>Einstufung der Flüchtigkeit (n. Handbook of Chemical Property Estimation Methods)</t>
  </si>
  <si>
    <t>Henry-Konstante H</t>
  </si>
  <si>
    <t>1,26e-5&lt;H&lt;4,087e-2: mittel</t>
  </si>
  <si>
    <t>H&gt;4,082e-2: hoch</t>
  </si>
  <si>
    <t>H&lt; 1,26e-5: gering</t>
  </si>
  <si>
    <t>Fall A oder B</t>
  </si>
  <si>
    <t>Trichlorethen</t>
  </si>
  <si>
    <t>korrekturfaktor</t>
  </si>
  <si>
    <t>Feld/Luft-Kapazität nach KA 4/5</t>
  </si>
  <si>
    <t xml:space="preserve">Bei Böden mit Grobbodenanteil wird die Feldkapazität entspr. KA4/S. 295 mit dem Korrekturfaktor (100-Vol.% Grobbodenanteil)/100 </t>
  </si>
  <si>
    <t>entsprechend dem Volumenanteil des Grobbodens reduziert.</t>
  </si>
  <si>
    <t>max. Konz. am OdB</t>
  </si>
  <si>
    <r>
      <t>m</t>
    </r>
    <r>
      <rPr>
        <b/>
        <vertAlign val="superscript"/>
        <sz val="12"/>
        <rFont val="Arial"/>
        <family val="2"/>
      </rPr>
      <t>2</t>
    </r>
  </si>
  <si>
    <r>
      <t>c</t>
    </r>
    <r>
      <rPr>
        <b/>
        <vertAlign val="subscript"/>
        <sz val="12"/>
        <rFont val="Arial"/>
        <family val="2"/>
      </rPr>
      <t>max</t>
    </r>
  </si>
  <si>
    <r>
      <t>m</t>
    </r>
    <r>
      <rPr>
        <b/>
        <sz val="12"/>
        <rFont val="Arial"/>
        <family val="2"/>
      </rPr>
      <t>g/l</t>
    </r>
  </si>
  <si>
    <r>
      <t>E</t>
    </r>
    <r>
      <rPr>
        <b/>
        <vertAlign val="subscript"/>
        <sz val="12"/>
        <rFont val="Arial"/>
        <family val="2"/>
      </rPr>
      <t>s2max</t>
    </r>
  </si>
  <si>
    <r>
      <t>E</t>
    </r>
    <r>
      <rPr>
        <b/>
        <vertAlign val="subscript"/>
        <sz val="12"/>
        <rFont val="Arial"/>
        <family val="2"/>
      </rPr>
      <t>s2mittel</t>
    </r>
  </si>
  <si>
    <r>
      <t>Q</t>
    </r>
    <r>
      <rPr>
        <b/>
        <vertAlign val="subscript"/>
        <sz val="12"/>
        <rFont val="Arial"/>
        <family val="2"/>
      </rPr>
      <t>s2</t>
    </r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</si>
  <si>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/a</t>
    </r>
  </si>
  <si>
    <r>
      <t>h</t>
    </r>
    <r>
      <rPr>
        <b/>
        <vertAlign val="subscript"/>
        <sz val="12"/>
        <rFont val="Arial"/>
        <family val="2"/>
      </rPr>
      <t>kont</t>
    </r>
  </si>
  <si>
    <r>
      <t>Q</t>
    </r>
    <r>
      <rPr>
        <b/>
        <vertAlign val="subscript"/>
        <sz val="12"/>
        <rFont val="Arial"/>
        <family val="2"/>
      </rPr>
      <t>gw</t>
    </r>
  </si>
  <si>
    <r>
      <t>c</t>
    </r>
    <r>
      <rPr>
        <b/>
        <vertAlign val="subscript"/>
        <sz val="12"/>
        <rFont val="Arial"/>
        <family val="2"/>
      </rPr>
      <t>gw-max</t>
    </r>
  </si>
  <si>
    <r>
      <t>m</t>
    </r>
    <r>
      <rPr>
        <b/>
        <sz val="12"/>
        <rFont val="Arial"/>
        <family val="0"/>
      </rPr>
      <t>g/l</t>
    </r>
  </si>
  <si>
    <r>
      <t>c</t>
    </r>
    <r>
      <rPr>
        <b/>
        <vertAlign val="subscript"/>
        <sz val="12"/>
        <rFont val="Arial"/>
        <family val="2"/>
      </rPr>
      <t>gw-mittel</t>
    </r>
  </si>
  <si>
    <t>VF</t>
  </si>
  <si>
    <r>
      <t>Verdünnungsfaktor  (c</t>
    </r>
    <r>
      <rPr>
        <b/>
        <vertAlign val="subscript"/>
        <sz val="12"/>
        <rFont val="Arial"/>
        <family val="2"/>
      </rPr>
      <t>max</t>
    </r>
    <r>
      <rPr>
        <b/>
        <sz val="12"/>
        <rFont val="Arial"/>
        <family val="0"/>
      </rPr>
      <t>)</t>
    </r>
  </si>
  <si>
    <t xml:space="preserve">wichtiger Hinweis: Die Werte sind als Orientierung gedacht, </t>
  </si>
  <si>
    <t>Fallbsp. 1/Basisfall</t>
  </si>
  <si>
    <t>Die Werte der rot unterlegten Zellen</t>
  </si>
  <si>
    <t>Die kd-Werte in den rot markierten Zellen sind in den Tabellenblättern Fall A bzw Fall B einzusetzen</t>
  </si>
  <si>
    <t>Linear. Freundlich-Isoth.</t>
  </si>
  <si>
    <t xml:space="preserve">sofern keine standortspezifischen Werte aus </t>
  </si>
  <si>
    <t xml:space="preserve">Labor-/Felduntersuchungen vorliegen </t>
  </si>
  <si>
    <r>
      <t xml:space="preserve">entsprechende Zeile leer sein  (Zelle mit rechter Maustaste </t>
    </r>
    <r>
      <rPr>
        <b/>
        <u val="single"/>
        <sz val="10"/>
        <rFont val="Arial"/>
        <family val="2"/>
      </rPr>
      <t xml:space="preserve">einzeln </t>
    </r>
    <r>
      <rPr>
        <b/>
        <sz val="10"/>
        <rFont val="Arial"/>
        <family val="2"/>
      </rPr>
      <t>auswählen und Inhalte löschen)</t>
    </r>
  </si>
  <si>
    <t>Konzentration cs2(t)</t>
  </si>
  <si>
    <t>Fracht Es2(t)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</si>
</sst>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407]dddd\,\ d\.\ mmmm\ yyyy"/>
    <numFmt numFmtId="167" formatCode="dd/mm/yy;@"/>
    <numFmt numFmtId="168" formatCode="d/m/yy;@"/>
    <numFmt numFmtId="169" formatCode="0.0E+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0"/>
    <numFmt numFmtId="175" formatCode="0.0000"/>
    <numFmt numFmtId="176" formatCode="0.000E+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0"/>
      <name val="Symbol"/>
      <family val="1"/>
    </font>
    <font>
      <sz val="14"/>
      <name val="Symbol"/>
      <family val="1"/>
    </font>
    <font>
      <b/>
      <sz val="10"/>
      <color indexed="10"/>
      <name val="Arial"/>
      <family val="2"/>
    </font>
    <font>
      <b/>
      <sz val="10"/>
      <color indexed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sz val="16"/>
      <color indexed="8"/>
      <name val="Arial"/>
      <family val="0"/>
    </font>
    <font>
      <sz val="18"/>
      <color indexed="8"/>
      <name val="Arial"/>
      <family val="0"/>
    </font>
    <font>
      <vertAlign val="subscript"/>
      <sz val="18"/>
      <color indexed="8"/>
      <name val="Arial"/>
      <family val="2"/>
    </font>
    <font>
      <vertAlign val="subscript"/>
      <sz val="16"/>
      <color indexed="8"/>
      <name val="Arial"/>
      <family val="2"/>
    </font>
    <font>
      <sz val="16"/>
      <color indexed="8"/>
      <name val="Symbol"/>
      <family val="0"/>
    </font>
    <font>
      <vertAlign val="superscript"/>
      <sz val="18"/>
      <color indexed="8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4"/>
      <name val="Arial"/>
      <family val="2"/>
    </font>
    <font>
      <vertAlign val="subscript"/>
      <sz val="12"/>
      <name val="Arial"/>
      <family val="2"/>
    </font>
    <font>
      <vertAlign val="superscript"/>
      <sz val="14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color indexed="39"/>
      <name val="Arial"/>
      <family val="2"/>
    </font>
    <font>
      <sz val="16"/>
      <name val="Arial"/>
      <family val="0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Symbol"/>
      <family val="1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0" fontId="16" fillId="2" borderId="1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6" fillId="3" borderId="3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6" fillId="3" borderId="6" xfId="0" applyFont="1" applyFill="1" applyBorder="1" applyAlignment="1">
      <alignment/>
    </xf>
    <xf numFmtId="0" fontId="16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2" borderId="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3" fillId="0" borderId="8" xfId="0" applyNumberFormat="1" applyFont="1" applyBorder="1" applyAlignment="1" applyProtection="1">
      <alignment/>
      <protection locked="0"/>
    </xf>
    <xf numFmtId="164" fontId="3" fillId="3" borderId="9" xfId="0" applyNumberFormat="1" applyFont="1" applyFill="1" applyBorder="1" applyAlignment="1" applyProtection="1">
      <alignment/>
      <protection locked="0"/>
    </xf>
    <xf numFmtId="2" fontId="3" fillId="3" borderId="9" xfId="0" applyNumberFormat="1" applyFont="1" applyFill="1" applyBorder="1" applyAlignment="1" applyProtection="1">
      <alignment/>
      <protection locked="0"/>
    </xf>
    <xf numFmtId="164" fontId="3" fillId="3" borderId="10" xfId="0" applyNumberFormat="1" applyFont="1" applyFill="1" applyBorder="1" applyAlignment="1" applyProtection="1">
      <alignment/>
      <protection locked="0"/>
    </xf>
    <xf numFmtId="164" fontId="3" fillId="3" borderId="6" xfId="0" applyNumberFormat="1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2" fillId="2" borderId="4" xfId="0" applyNumberFormat="1" applyFont="1" applyFill="1" applyBorder="1" applyAlignment="1" applyProtection="1">
      <alignment/>
      <protection locked="0"/>
    </xf>
    <xf numFmtId="164" fontId="0" fillId="4" borderId="3" xfId="0" applyNumberFormat="1" applyFill="1" applyBorder="1" applyAlignment="1" applyProtection="1">
      <alignment/>
      <protection locked="0"/>
    </xf>
    <xf numFmtId="164" fontId="0" fillId="4" borderId="5" xfId="0" applyNumberForma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22" fontId="2" fillId="4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2" fontId="2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4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4" fillId="4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/>
      <protection/>
    </xf>
    <xf numFmtId="0" fontId="2" fillId="4" borderId="12" xfId="0" applyFont="1" applyFill="1" applyBorder="1" applyAlignment="1" applyProtection="1">
      <alignment horizontal="center"/>
      <protection/>
    </xf>
    <xf numFmtId="49" fontId="2" fillId="4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3" fillId="2" borderId="14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164" fontId="0" fillId="2" borderId="16" xfId="0" applyNumberForma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3" fillId="2" borderId="19" xfId="0" applyFont="1" applyFill="1" applyBorder="1" applyAlignment="1" applyProtection="1">
      <alignment/>
      <protection/>
    </xf>
    <xf numFmtId="0" fontId="3" fillId="2" borderId="20" xfId="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3" fillId="3" borderId="12" xfId="0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3" fillId="3" borderId="23" xfId="0" applyFont="1" applyFill="1" applyBorder="1" applyAlignment="1" applyProtection="1">
      <alignment/>
      <protection/>
    </xf>
    <xf numFmtId="0" fontId="3" fillId="3" borderId="23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164" fontId="0" fillId="2" borderId="26" xfId="0" applyNumberForma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64" fontId="0" fillId="2" borderId="4" xfId="0" applyNumberFormat="1" applyFill="1" applyBorder="1" applyAlignment="1" applyProtection="1">
      <alignment/>
      <protection/>
    </xf>
    <xf numFmtId="0" fontId="3" fillId="2" borderId="28" xfId="0" applyFont="1" applyFill="1" applyBorder="1" applyAlignment="1" applyProtection="1">
      <alignment/>
      <protection/>
    </xf>
    <xf numFmtId="0" fontId="3" fillId="2" borderId="29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2" fillId="0" borderId="30" xfId="0" applyNumberFormat="1" applyFont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165" fontId="6" fillId="2" borderId="12" xfId="0" applyNumberFormat="1" applyFont="1" applyFill="1" applyBorder="1" applyAlignment="1" applyProtection="1">
      <alignment horizontal="center"/>
      <protection/>
    </xf>
    <xf numFmtId="165" fontId="11" fillId="2" borderId="12" xfId="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165" fontId="6" fillId="2" borderId="5" xfId="0" applyNumberFormat="1" applyFont="1" applyFill="1" applyBorder="1" applyAlignment="1" applyProtection="1">
      <alignment horizontal="center"/>
      <protection/>
    </xf>
    <xf numFmtId="165" fontId="4" fillId="2" borderId="5" xfId="0" applyNumberFormat="1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5" fontId="26" fillId="0" borderId="0" xfId="0" applyNumberFormat="1" applyFont="1" applyAlignment="1" applyProtection="1">
      <alignment/>
      <protection/>
    </xf>
    <xf numFmtId="0" fontId="2" fillId="2" borderId="31" xfId="0" applyFont="1" applyFill="1" applyBorder="1" applyAlignment="1" applyProtection="1">
      <alignment horizontal="center"/>
      <protection/>
    </xf>
    <xf numFmtId="165" fontId="2" fillId="2" borderId="31" xfId="0" applyNumberFormat="1" applyFont="1" applyFill="1" applyBorder="1" applyAlignment="1" applyProtection="1">
      <alignment horizontal="center"/>
      <protection/>
    </xf>
    <xf numFmtId="165" fontId="2" fillId="2" borderId="5" xfId="0" applyNumberFormat="1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 horizontal="left"/>
      <protection/>
    </xf>
    <xf numFmtId="168" fontId="6" fillId="0" borderId="0" xfId="0" applyNumberFormat="1" applyFont="1" applyFill="1" applyBorder="1" applyAlignment="1" applyProtection="1">
      <alignment horizontal="left"/>
      <protection/>
    </xf>
    <xf numFmtId="169" fontId="0" fillId="2" borderId="4" xfId="0" applyNumberFormat="1" applyFill="1" applyBorder="1" applyAlignment="1" applyProtection="1">
      <alignment/>
      <protection locked="0"/>
    </xf>
    <xf numFmtId="169" fontId="2" fillId="2" borderId="4" xfId="0" applyNumberFormat="1" applyFont="1" applyFill="1" applyBorder="1" applyAlignment="1" applyProtection="1">
      <alignment/>
      <protection locked="0"/>
    </xf>
    <xf numFmtId="11" fontId="3" fillId="0" borderId="16" xfId="0" applyNumberFormat="1" applyFont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6" borderId="31" xfId="0" applyFont="1" applyFill="1" applyBorder="1" applyAlignment="1" applyProtection="1">
      <alignment/>
      <protection/>
    </xf>
    <xf numFmtId="0" fontId="2" fillId="6" borderId="31" xfId="0" applyFont="1" applyFill="1" applyBorder="1" applyAlignment="1" applyProtection="1">
      <alignment horizontal="center"/>
      <protection/>
    </xf>
    <xf numFmtId="0" fontId="2" fillId="6" borderId="32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/>
      <protection/>
    </xf>
    <xf numFmtId="0" fontId="4" fillId="6" borderId="3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0" fillId="6" borderId="5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 horizontal="center"/>
      <protection/>
    </xf>
    <xf numFmtId="0" fontId="0" fillId="6" borderId="6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16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3" borderId="3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0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0" fillId="0" borderId="27" xfId="0" applyNumberFormat="1" applyBorder="1" applyAlignment="1" applyProtection="1">
      <alignment/>
      <protection/>
    </xf>
    <xf numFmtId="2" fontId="0" fillId="4" borderId="3" xfId="0" applyNumberFormat="1" applyFill="1" applyBorder="1" applyAlignment="1" applyProtection="1">
      <alignment/>
      <protection locked="0"/>
    </xf>
    <xf numFmtId="2" fontId="0" fillId="4" borderId="5" xfId="0" applyNumberFormat="1" applyFill="1" applyBorder="1" applyAlignment="1" applyProtection="1">
      <alignment/>
      <protection locked="0"/>
    </xf>
    <xf numFmtId="164" fontId="3" fillId="3" borderId="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3" fillId="3" borderId="9" xfId="0" applyNumberFormat="1" applyFont="1" applyFill="1" applyBorder="1" applyAlignment="1" applyProtection="1">
      <alignment horizontal="right"/>
      <protection locked="0"/>
    </xf>
    <xf numFmtId="164" fontId="3" fillId="3" borderId="6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/>
      <protection/>
    </xf>
    <xf numFmtId="165" fontId="2" fillId="2" borderId="3" xfId="0" applyNumberFormat="1" applyFont="1" applyFill="1" applyBorder="1" applyAlignment="1" applyProtection="1">
      <alignment horizontal="center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176" fontId="2" fillId="2" borderId="3" xfId="0" applyNumberFormat="1" applyFont="1" applyFill="1" applyBorder="1" applyAlignment="1" applyProtection="1">
      <alignment horizontal="center"/>
      <protection/>
    </xf>
    <xf numFmtId="176" fontId="2" fillId="2" borderId="5" xfId="0" applyNumberFormat="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/>
      <protection/>
    </xf>
    <xf numFmtId="0" fontId="2" fillId="3" borderId="3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5" fontId="2" fillId="2" borderId="31" xfId="0" applyNumberFormat="1" applyFont="1" applyFill="1" applyBorder="1" applyAlignment="1" applyProtection="1">
      <alignment horizontal="center"/>
      <protection/>
    </xf>
    <xf numFmtId="175" fontId="2" fillId="2" borderId="3" xfId="0" applyNumberFormat="1" applyFont="1" applyFill="1" applyBorder="1" applyAlignment="1" applyProtection="1">
      <alignment horizontal="center"/>
      <protection/>
    </xf>
    <xf numFmtId="175" fontId="2" fillId="2" borderId="5" xfId="0" applyNumberFormat="1" applyFont="1" applyFill="1" applyBorder="1" applyAlignment="1" applyProtection="1">
      <alignment horizontal="center"/>
      <protection/>
    </xf>
    <xf numFmtId="49" fontId="2" fillId="2" borderId="3" xfId="0" applyNumberFormat="1" applyFont="1" applyFill="1" applyBorder="1" applyAlignment="1" applyProtection="1">
      <alignment horizontal="center"/>
      <protection/>
    </xf>
    <xf numFmtId="49" fontId="2" fillId="2" borderId="5" xfId="0" applyNumberFormat="1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3" borderId="5" xfId="0" applyFill="1" applyBorder="1" applyAlignment="1">
      <alignment/>
    </xf>
    <xf numFmtId="165" fontId="2" fillId="2" borderId="32" xfId="0" applyNumberFormat="1" applyFont="1" applyFill="1" applyBorder="1" applyAlignment="1" applyProtection="1">
      <alignment horizontal="center"/>
      <protection/>
    </xf>
    <xf numFmtId="165" fontId="2" fillId="2" borderId="4" xfId="0" applyNumberFormat="1" applyFont="1" applyFill="1" applyBorder="1" applyAlignment="1" applyProtection="1">
      <alignment horizontal="center"/>
      <protection/>
    </xf>
    <xf numFmtId="165" fontId="2" fillId="2" borderId="6" xfId="0" applyNumberFormat="1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6" borderId="5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31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left"/>
    </xf>
    <xf numFmtId="164" fontId="2" fillId="6" borderId="5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6" borderId="5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2" fillId="6" borderId="3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76" fontId="2" fillId="6" borderId="31" xfId="0" applyNumberFormat="1" applyFont="1" applyFill="1" applyBorder="1" applyAlignment="1">
      <alignment horizontal="center"/>
    </xf>
    <xf numFmtId="176" fontId="2" fillId="6" borderId="3" xfId="0" applyNumberFormat="1" applyFont="1" applyFill="1" applyBorder="1" applyAlignment="1">
      <alignment horizontal="center"/>
    </xf>
    <xf numFmtId="176" fontId="2" fillId="6" borderId="5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75" fontId="0" fillId="3" borderId="3" xfId="0" applyNumberFormat="1" applyFill="1" applyBorder="1" applyAlignment="1" applyProtection="1">
      <alignment horizontal="center"/>
      <protection/>
    </xf>
    <xf numFmtId="175" fontId="0" fillId="3" borderId="5" xfId="0" applyNumberFormat="1" applyFill="1" applyBorder="1" applyAlignment="1" applyProtection="1">
      <alignment horizontal="center"/>
      <protection/>
    </xf>
    <xf numFmtId="175" fontId="0" fillId="3" borderId="5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/>
    </xf>
    <xf numFmtId="176" fontId="2" fillId="3" borderId="3" xfId="0" applyNumberFormat="1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5" fontId="36" fillId="3" borderId="4" xfId="0" applyNumberFormat="1" applyFont="1" applyFill="1" applyBorder="1" applyAlignment="1">
      <alignment horizontal="center"/>
    </xf>
    <xf numFmtId="164" fontId="36" fillId="3" borderId="4" xfId="0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23" xfId="0" applyFill="1" applyBorder="1" applyAlignment="1">
      <alignment/>
    </xf>
    <xf numFmtId="0" fontId="2" fillId="3" borderId="5" xfId="0" applyFont="1" applyFill="1" applyBorder="1" applyAlignment="1">
      <alignment/>
    </xf>
    <xf numFmtId="165" fontId="6" fillId="3" borderId="3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76" fontId="0" fillId="3" borderId="5" xfId="0" applyNumberForma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76" fontId="0" fillId="3" borderId="3" xfId="0" applyNumberForma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/>
    </xf>
    <xf numFmtId="0" fontId="0" fillId="3" borderId="31" xfId="0" applyFill="1" applyBorder="1" applyAlignment="1">
      <alignment horizontal="center"/>
    </xf>
    <xf numFmtId="176" fontId="0" fillId="3" borderId="31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165" fontId="0" fillId="3" borderId="31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5" fontId="0" fillId="3" borderId="32" xfId="0" applyNumberFormat="1" applyFill="1" applyBorder="1" applyAlignment="1">
      <alignment/>
    </xf>
    <xf numFmtId="165" fontId="6" fillId="3" borderId="3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/>
    </xf>
    <xf numFmtId="165" fontId="6" fillId="3" borderId="2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65" fontId="2" fillId="3" borderId="1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1" fontId="6" fillId="3" borderId="3" xfId="0" applyNumberFormat="1" applyFont="1" applyFill="1" applyBorder="1" applyAlignment="1">
      <alignment horizontal="center"/>
    </xf>
    <xf numFmtId="11" fontId="6" fillId="3" borderId="23" xfId="0" applyNumberFormat="1" applyFont="1" applyFill="1" applyBorder="1" applyAlignment="1">
      <alignment horizontal="center"/>
    </xf>
    <xf numFmtId="11" fontId="6" fillId="3" borderId="5" xfId="0" applyNumberFormat="1" applyFont="1" applyFill="1" applyBorder="1" applyAlignment="1">
      <alignment horizontal="center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5" borderId="3" xfId="0" applyNumberFormat="1" applyFill="1" applyBorder="1" applyAlignment="1" applyProtection="1">
      <alignment horizontal="center"/>
      <protection locked="0"/>
    </xf>
    <xf numFmtId="165" fontId="0" fillId="5" borderId="23" xfId="0" applyNumberFormat="1" applyFill="1" applyBorder="1" applyAlignment="1" applyProtection="1">
      <alignment horizontal="center"/>
      <protection locked="0"/>
    </xf>
    <xf numFmtId="164" fontId="0" fillId="5" borderId="3" xfId="0" applyNumberFormat="1" applyFon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center"/>
      <protection locked="0"/>
    </xf>
    <xf numFmtId="164" fontId="0" fillId="5" borderId="23" xfId="0" applyNumberFormat="1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Alignment="1" applyProtection="1">
      <alignment horizontal="center"/>
      <protection/>
    </xf>
    <xf numFmtId="165" fontId="0" fillId="3" borderId="3" xfId="0" applyNumberFormat="1" applyFill="1" applyBorder="1" applyAlignment="1" applyProtection="1">
      <alignment horizontal="center"/>
      <protection/>
    </xf>
    <xf numFmtId="165" fontId="0" fillId="3" borderId="4" xfId="0" applyNumberForma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165" fontId="0" fillId="3" borderId="5" xfId="0" applyNumberFormat="1" applyFill="1" applyBorder="1" applyAlignment="1" applyProtection="1">
      <alignment horizontal="center"/>
      <protection/>
    </xf>
    <xf numFmtId="165" fontId="0" fillId="3" borderId="6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left"/>
      <protection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6" borderId="31" xfId="0" applyFill="1" applyBorder="1" applyAlignment="1">
      <alignment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26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/>
    </xf>
    <xf numFmtId="164" fontId="6" fillId="0" borderId="9" xfId="0" applyNumberFormat="1" applyFont="1" applyBorder="1" applyAlignment="1" applyProtection="1">
      <alignment horizontal="center"/>
      <protection/>
    </xf>
    <xf numFmtId="165" fontId="6" fillId="0" borderId="9" xfId="0" applyNumberFormat="1" applyFont="1" applyBorder="1" applyAlignment="1" applyProtection="1">
      <alignment horizontal="center"/>
      <protection/>
    </xf>
    <xf numFmtId="165" fontId="2" fillId="4" borderId="9" xfId="0" applyNumberFormat="1" applyFont="1" applyFill="1" applyBorder="1" applyAlignment="1" applyProtection="1">
      <alignment horizontal="center"/>
      <protection locked="0"/>
    </xf>
    <xf numFmtId="165" fontId="6" fillId="0" borderId="33" xfId="0" applyNumberFormat="1" applyFont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5" fontId="6" fillId="0" borderId="7" xfId="0" applyNumberFormat="1" applyFont="1" applyBorder="1" applyAlignment="1" applyProtection="1">
      <alignment horizontal="center"/>
      <protection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/>
    </xf>
    <xf numFmtId="165" fontId="6" fillId="0" borderId="34" xfId="0" applyNumberFormat="1" applyFont="1" applyBorder="1" applyAlignment="1" applyProtection="1">
      <alignment horizontal="center"/>
      <protection/>
    </xf>
    <xf numFmtId="0" fontId="2" fillId="5" borderId="12" xfId="0" applyFont="1" applyFill="1" applyBorder="1" applyAlignment="1" applyProtection="1">
      <alignment/>
      <protection/>
    </xf>
    <xf numFmtId="0" fontId="2" fillId="5" borderId="12" xfId="0" applyFont="1" applyFill="1" applyBorder="1" applyAlignment="1" applyProtection="1">
      <alignment horizontal="center"/>
      <protection/>
    </xf>
    <xf numFmtId="0" fontId="2" fillId="6" borderId="11" xfId="0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176" fontId="0" fillId="0" borderId="0" xfId="0" applyNumberFormat="1" applyAlignment="1">
      <alignment horizontal="center"/>
    </xf>
    <xf numFmtId="176" fontId="0" fillId="3" borderId="3" xfId="0" applyNumberFormat="1" applyFill="1" applyBorder="1" applyAlignment="1" applyProtection="1">
      <alignment horizontal="center"/>
      <protection/>
    </xf>
    <xf numFmtId="176" fontId="0" fillId="3" borderId="31" xfId="0" applyNumberFormat="1" applyFill="1" applyBorder="1" applyAlignment="1" applyProtection="1">
      <alignment horizontal="center"/>
      <protection/>
    </xf>
    <xf numFmtId="176" fontId="0" fillId="3" borderId="5" xfId="0" applyNumberFormat="1" applyFill="1" applyBorder="1" applyAlignment="1" applyProtection="1">
      <alignment horizontal="center"/>
      <protection/>
    </xf>
    <xf numFmtId="176" fontId="0" fillId="3" borderId="3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0" fontId="0" fillId="6" borderId="3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31" xfId="0" applyFill="1" applyBorder="1" applyAlignment="1" applyProtection="1">
      <alignment horizontal="center"/>
      <protection/>
    </xf>
    <xf numFmtId="0" fontId="0" fillId="3" borderId="5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6" borderId="31" xfId="0" applyNumberFormat="1" applyFill="1" applyBorder="1" applyAlignment="1">
      <alignment horizontal="center"/>
    </xf>
    <xf numFmtId="49" fontId="0" fillId="6" borderId="31" xfId="0" applyNumberFormat="1" applyFill="1" applyBorder="1" applyAlignment="1">
      <alignment horizontal="center"/>
    </xf>
    <xf numFmtId="49" fontId="0" fillId="3" borderId="3" xfId="0" applyNumberFormat="1" applyFill="1" applyBorder="1" applyAlignment="1" applyProtection="1">
      <alignment horizontal="center"/>
      <protection/>
    </xf>
    <xf numFmtId="2" fontId="0" fillId="3" borderId="31" xfId="0" applyNumberFormat="1" applyFill="1" applyBorder="1" applyAlignment="1" applyProtection="1">
      <alignment horizontal="center"/>
      <protection/>
    </xf>
    <xf numFmtId="49" fontId="0" fillId="3" borderId="31" xfId="0" applyNumberForma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 applyProtection="1">
      <alignment horizontal="center"/>
      <protection/>
    </xf>
    <xf numFmtId="49" fontId="0" fillId="3" borderId="5" xfId="0" applyNumberFormat="1" applyFill="1" applyBorder="1" applyAlignment="1" applyProtection="1">
      <alignment horizontal="center"/>
      <protection/>
    </xf>
    <xf numFmtId="2" fontId="0" fillId="3" borderId="3" xfId="0" applyNumberFormat="1" applyFont="1" applyFill="1" applyBorder="1" applyAlignment="1" applyProtection="1">
      <alignment horizontal="center"/>
      <protection/>
    </xf>
    <xf numFmtId="49" fontId="0" fillId="3" borderId="3" xfId="0" applyNumberFormat="1" applyFon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165" fontId="0" fillId="3" borderId="31" xfId="0" applyNumberFormat="1" applyFill="1" applyBorder="1" applyAlignment="1" applyProtection="1">
      <alignment horizontal="center"/>
      <protection/>
    </xf>
    <xf numFmtId="165" fontId="0" fillId="3" borderId="3" xfId="0" applyNumberFormat="1" applyFont="1" applyFill="1" applyBorder="1" applyAlignment="1" applyProtection="1">
      <alignment horizontal="center"/>
      <protection/>
    </xf>
    <xf numFmtId="176" fontId="0" fillId="6" borderId="31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65" fontId="2" fillId="7" borderId="12" xfId="0" applyNumberFormat="1" applyFont="1" applyFill="1" applyBorder="1" applyAlignment="1" applyProtection="1">
      <alignment horizontal="center"/>
      <protection/>
    </xf>
    <xf numFmtId="165" fontId="2" fillId="7" borderId="5" xfId="0" applyNumberFormat="1" applyFont="1" applyFill="1" applyBorder="1" applyAlignment="1" applyProtection="1">
      <alignment horizontal="center"/>
      <protection/>
    </xf>
    <xf numFmtId="165" fontId="2" fillId="7" borderId="32" xfId="0" applyNumberFormat="1" applyFont="1" applyFill="1" applyBorder="1" applyAlignment="1" applyProtection="1">
      <alignment horizontal="center"/>
      <protection/>
    </xf>
    <xf numFmtId="165" fontId="2" fillId="7" borderId="4" xfId="0" applyNumberFormat="1" applyFont="1" applyFill="1" applyBorder="1" applyAlignment="1" applyProtection="1">
      <alignment horizontal="center"/>
      <protection/>
    </xf>
    <xf numFmtId="0" fontId="2" fillId="7" borderId="5" xfId="0" applyFont="1" applyFill="1" applyBorder="1" applyAlignment="1" applyProtection="1">
      <alignment horizontal="center"/>
      <protection/>
    </xf>
    <xf numFmtId="165" fontId="2" fillId="0" borderId="6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Fill="1" applyBorder="1" applyAlignment="1" applyProtection="1">
      <alignment horizontal="center"/>
      <protection/>
    </xf>
    <xf numFmtId="165" fontId="2" fillId="0" borderId="32" xfId="0" applyNumberFormat="1" applyFont="1" applyFill="1" applyBorder="1" applyAlignment="1" applyProtection="1">
      <alignment horizontal="center"/>
      <protection/>
    </xf>
    <xf numFmtId="164" fontId="3" fillId="2" borderId="6" xfId="0" applyNumberFormat="1" applyFon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/>
      <protection/>
    </xf>
    <xf numFmtId="164" fontId="3" fillId="2" borderId="34" xfId="0" applyNumberFormat="1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6" borderId="25" xfId="0" applyFill="1" applyBorder="1" applyAlignment="1" applyProtection="1">
      <alignment/>
      <protection/>
    </xf>
    <xf numFmtId="0" fontId="2" fillId="6" borderId="25" xfId="0" applyFont="1" applyFill="1" applyBorder="1" applyAlignment="1" applyProtection="1">
      <alignment/>
      <protection/>
    </xf>
    <xf numFmtId="0" fontId="2" fillId="6" borderId="26" xfId="0" applyFont="1" applyFill="1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/>
      <protection/>
    </xf>
    <xf numFmtId="0" fontId="2" fillId="6" borderId="37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/>
      <protection/>
    </xf>
    <xf numFmtId="0" fontId="2" fillId="6" borderId="38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6" borderId="39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2" fillId="6" borderId="29" xfId="0" applyFont="1" applyFill="1" applyBorder="1" applyAlignment="1" applyProtection="1">
      <alignment horizontal="center"/>
      <protection/>
    </xf>
    <xf numFmtId="0" fontId="0" fillId="6" borderId="40" xfId="0" applyFill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center"/>
      <protection/>
    </xf>
    <xf numFmtId="0" fontId="2" fillId="3" borderId="41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2" fillId="3" borderId="4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39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0" fontId="2" fillId="3" borderId="40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/>
      <protection/>
    </xf>
    <xf numFmtId="0" fontId="0" fillId="3" borderId="29" xfId="0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0" fontId="2" fillId="6" borderId="31" xfId="0" applyFont="1" applyFill="1" applyBorder="1" applyAlignment="1" applyProtection="1">
      <alignment horizontal="center"/>
      <protection/>
    </xf>
    <xf numFmtId="0" fontId="2" fillId="6" borderId="30" xfId="0" applyFont="1" applyFill="1" applyBorder="1" applyAlignment="1" applyProtection="1">
      <alignment horizontal="center"/>
      <protection/>
    </xf>
    <xf numFmtId="0" fontId="2" fillId="6" borderId="32" xfId="0" applyFont="1" applyFill="1" applyBorder="1" applyAlignment="1" applyProtection="1">
      <alignment horizontal="center"/>
      <protection/>
    </xf>
    <xf numFmtId="2" fontId="0" fillId="6" borderId="30" xfId="0" applyNumberForma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2" fontId="0" fillId="6" borderId="0" xfId="0" applyNumberFormat="1" applyFill="1" applyBorder="1" applyAlignment="1" applyProtection="1">
      <alignment horizontal="center"/>
      <protection/>
    </xf>
    <xf numFmtId="0" fontId="0" fillId="6" borderId="5" xfId="0" applyFont="1" applyFill="1" applyBorder="1" applyAlignment="1" applyProtection="1">
      <alignment horizontal="center"/>
      <protection/>
    </xf>
    <xf numFmtId="0" fontId="0" fillId="6" borderId="29" xfId="0" applyFont="1" applyFill="1" applyBorder="1" applyAlignment="1" applyProtection="1">
      <alignment horizontal="center"/>
      <protection/>
    </xf>
    <xf numFmtId="0" fontId="0" fillId="6" borderId="40" xfId="0" applyFill="1" applyBorder="1" applyAlignment="1" applyProtection="1">
      <alignment horizontal="center"/>
      <protection/>
    </xf>
    <xf numFmtId="0" fontId="0" fillId="6" borderId="6" xfId="0" applyFont="1" applyFill="1" applyBorder="1" applyAlignment="1" applyProtection="1">
      <alignment horizontal="center"/>
      <protection/>
    </xf>
    <xf numFmtId="2" fontId="0" fillId="6" borderId="29" xfId="0" applyNumberFormat="1" applyFill="1" applyBorder="1" applyAlignment="1" applyProtection="1">
      <alignment horizontal="center"/>
      <protection/>
    </xf>
    <xf numFmtId="0" fontId="2" fillId="5" borderId="29" xfId="0" applyFont="1" applyFill="1" applyBorder="1" applyAlignment="1" applyProtection="1">
      <alignment horizontal="center"/>
      <protection/>
    </xf>
    <xf numFmtId="0" fontId="0" fillId="5" borderId="29" xfId="0" applyFill="1" applyBorder="1" applyAlignment="1" applyProtection="1">
      <alignment horizontal="center"/>
      <protection/>
    </xf>
    <xf numFmtId="1" fontId="10" fillId="7" borderId="6" xfId="0" applyNumberFormat="1" applyFont="1" applyFill="1" applyBorder="1" applyAlignment="1" applyProtection="1">
      <alignment horizontal="left"/>
      <protection/>
    </xf>
    <xf numFmtId="0" fontId="0" fillId="5" borderId="0" xfId="0" applyFill="1" applyAlignment="1" applyProtection="1">
      <alignment/>
      <protection/>
    </xf>
    <xf numFmtId="0" fontId="10" fillId="6" borderId="1" xfId="0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 horizontal="left"/>
      <protection/>
    </xf>
    <xf numFmtId="0" fontId="10" fillId="6" borderId="31" xfId="0" applyFont="1" applyFill="1" applyBorder="1" applyAlignment="1" applyProtection="1">
      <alignment horizontal="center"/>
      <protection/>
    </xf>
    <xf numFmtId="0" fontId="2" fillId="6" borderId="7" xfId="0" applyFont="1" applyFill="1" applyBorder="1" applyAlignment="1" applyProtection="1">
      <alignment horizontal="center"/>
      <protection/>
    </xf>
    <xf numFmtId="0" fontId="2" fillId="6" borderId="12" xfId="0" applyFont="1" applyFill="1" applyBorder="1" applyAlignment="1" applyProtection="1">
      <alignment horizontal="center"/>
      <protection/>
    </xf>
    <xf numFmtId="0" fontId="4" fillId="6" borderId="12" xfId="0" applyFont="1" applyFill="1" applyBorder="1" applyAlignment="1" applyProtection="1">
      <alignment horizontal="center"/>
      <protection/>
    </xf>
    <xf numFmtId="0" fontId="4" fillId="6" borderId="17" xfId="0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165" fontId="2" fillId="0" borderId="5" xfId="0" applyNumberFormat="1" applyFont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left"/>
      <protection/>
    </xf>
    <xf numFmtId="0" fontId="2" fillId="7" borderId="1" xfId="0" applyFont="1" applyFill="1" applyBorder="1" applyAlignment="1" applyProtection="1">
      <alignment horizontal="center"/>
      <protection/>
    </xf>
    <xf numFmtId="165" fontId="31" fillId="7" borderId="1" xfId="0" applyNumberFormat="1" applyFont="1" applyFill="1" applyBorder="1" applyAlignment="1" applyProtection="1">
      <alignment horizontal="center"/>
      <protection/>
    </xf>
    <xf numFmtId="0" fontId="31" fillId="7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0" fontId="4" fillId="7" borderId="1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center"/>
      <protection/>
    </xf>
    <xf numFmtId="16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0" fontId="2" fillId="2" borderId="6" xfId="0" applyFont="1" applyFill="1" applyBorder="1" applyAlignment="1" applyProtection="1">
      <alignment horizontal="center"/>
      <protection/>
    </xf>
    <xf numFmtId="164" fontId="0" fillId="4" borderId="4" xfId="0" applyNumberFormat="1" applyFill="1" applyBorder="1" applyAlignment="1" applyProtection="1">
      <alignment/>
      <protection locked="0"/>
    </xf>
    <xf numFmtId="164" fontId="0" fillId="4" borderId="6" xfId="0" applyNumberForma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6" borderId="17" xfId="0" applyFont="1" applyFill="1" applyBorder="1" applyAlignment="1" applyProtection="1">
      <alignment/>
      <protection/>
    </xf>
    <xf numFmtId="0" fontId="2" fillId="6" borderId="41" xfId="0" applyFont="1" applyFill="1" applyBorder="1" applyAlignment="1" applyProtection="1">
      <alignment/>
      <protection/>
    </xf>
    <xf numFmtId="0" fontId="2" fillId="6" borderId="39" xfId="0" applyFont="1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0" fillId="6" borderId="46" xfId="0" applyFill="1" applyBorder="1" applyAlignment="1" applyProtection="1">
      <alignment/>
      <protection/>
    </xf>
    <xf numFmtId="0" fontId="0" fillId="6" borderId="29" xfId="0" applyFill="1" applyBorder="1" applyAlignment="1" applyProtection="1">
      <alignment/>
      <protection/>
    </xf>
    <xf numFmtId="0" fontId="2" fillId="6" borderId="40" xfId="0" applyFont="1" applyFill="1" applyBorder="1" applyAlignment="1" applyProtection="1">
      <alignment/>
      <protection/>
    </xf>
    <xf numFmtId="0" fontId="2" fillId="6" borderId="44" xfId="0" applyFont="1" applyFill="1" applyBorder="1" applyAlignment="1" applyProtection="1">
      <alignment/>
      <protection/>
    </xf>
    <xf numFmtId="0" fontId="2" fillId="6" borderId="6" xfId="0" applyFont="1" applyFill="1" applyBorder="1" applyAlignment="1" applyProtection="1">
      <alignment/>
      <protection/>
    </xf>
    <xf numFmtId="165" fontId="2" fillId="7" borderId="2" xfId="0" applyNumberFormat="1" applyFont="1" applyFill="1" applyBorder="1" applyAlignment="1" applyProtection="1">
      <alignment horizontal="center"/>
      <protection/>
    </xf>
    <xf numFmtId="165" fontId="0" fillId="7" borderId="32" xfId="0" applyNumberFormat="1" applyFill="1" applyBorder="1" applyAlignment="1" applyProtection="1">
      <alignment horizontal="center"/>
      <protection/>
    </xf>
    <xf numFmtId="165" fontId="2" fillId="7" borderId="6" xfId="0" applyNumberFormat="1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/>
    </xf>
    <xf numFmtId="164" fontId="2" fillId="7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64" fontId="0" fillId="4" borderId="5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164" fontId="15" fillId="0" borderId="5" xfId="0" applyNumberFormat="1" applyFont="1" applyBorder="1" applyAlignment="1" applyProtection="1">
      <alignment horizontal="center"/>
      <protection/>
    </xf>
    <xf numFmtId="164" fontId="2" fillId="7" borderId="5" xfId="0" applyNumberFormat="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" fillId="6" borderId="41" xfId="0" applyFont="1" applyFill="1" applyBorder="1" applyAlignment="1" applyProtection="1">
      <alignment horizontal="left"/>
      <protection/>
    </xf>
    <xf numFmtId="0" fontId="2" fillId="6" borderId="39" xfId="0" applyFont="1" applyFill="1" applyBorder="1" applyAlignment="1" applyProtection="1">
      <alignment horizontal="left"/>
      <protection/>
    </xf>
    <xf numFmtId="49" fontId="2" fillId="2" borderId="3" xfId="0" applyNumberFormat="1" applyFont="1" applyFill="1" applyBorder="1" applyAlignment="1" applyProtection="1">
      <alignment horizontal="left"/>
      <protection/>
    </xf>
    <xf numFmtId="49" fontId="2" fillId="2" borderId="5" xfId="0" applyNumberFormat="1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6" borderId="4" xfId="0" applyFont="1" applyFill="1" applyBorder="1" applyAlignment="1" applyProtection="1">
      <alignment/>
      <protection/>
    </xf>
    <xf numFmtId="0" fontId="2" fillId="6" borderId="47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6" fontId="0" fillId="5" borderId="3" xfId="0" applyNumberFormat="1" applyFill="1" applyBorder="1" applyAlignment="1" applyProtection="1">
      <alignment horizontal="center"/>
      <protection locked="0"/>
    </xf>
    <xf numFmtId="176" fontId="0" fillId="5" borderId="23" xfId="0" applyNumberFormat="1" applyFill="1" applyBorder="1" applyAlignment="1" applyProtection="1">
      <alignment horizontal="center"/>
      <protection locked="0"/>
    </xf>
    <xf numFmtId="164" fontId="0" fillId="5" borderId="23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/>
      <protection locked="0"/>
    </xf>
    <xf numFmtId="164" fontId="2" fillId="5" borderId="2" xfId="0" applyNumberFormat="1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5" xfId="0" applyFill="1" applyBorder="1" applyAlignment="1">
      <alignment horizontal="center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65" fontId="31" fillId="0" borderId="0" xfId="0" applyNumberFormat="1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165" fontId="38" fillId="0" borderId="0" xfId="0" applyNumberFormat="1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2" xfId="0" applyFill="1" applyBorder="1" applyAlignment="1" applyProtection="1">
      <alignment horizontal="center"/>
      <protection/>
    </xf>
    <xf numFmtId="164" fontId="2" fillId="5" borderId="9" xfId="0" applyNumberFormat="1" applyFont="1" applyFill="1" applyBorder="1" applyAlignment="1" applyProtection="1">
      <alignment horizontal="center"/>
      <protection locked="0"/>
    </xf>
    <xf numFmtId="165" fontId="0" fillId="5" borderId="0" xfId="0" applyNumberFormat="1" applyFill="1" applyAlignment="1" applyProtection="1">
      <alignment/>
      <protection/>
    </xf>
    <xf numFmtId="0" fontId="15" fillId="5" borderId="0" xfId="0" applyFont="1" applyFill="1" applyBorder="1" applyAlignment="1" applyProtection="1">
      <alignment/>
      <protection/>
    </xf>
    <xf numFmtId="176" fontId="2" fillId="5" borderId="9" xfId="0" applyNumberFormat="1" applyFont="1" applyFill="1" applyBorder="1" applyAlignment="1" applyProtection="1">
      <alignment horizontal="center"/>
      <protection locked="0"/>
    </xf>
    <xf numFmtId="165" fontId="0" fillId="3" borderId="28" xfId="0" applyNumberFormat="1" applyFill="1" applyBorder="1" applyAlignment="1">
      <alignment horizontal="center"/>
    </xf>
    <xf numFmtId="164" fontId="2" fillId="5" borderId="7" xfId="0" applyNumberFormat="1" applyFont="1" applyFill="1" applyBorder="1" applyAlignment="1" applyProtection="1">
      <alignment horizontal="center"/>
      <protection locked="0"/>
    </xf>
    <xf numFmtId="165" fontId="2" fillId="5" borderId="3" xfId="0" applyNumberFormat="1" applyFont="1" applyFill="1" applyBorder="1" applyAlignment="1" applyProtection="1">
      <alignment horizontal="center"/>
      <protection locked="0"/>
    </xf>
    <xf numFmtId="165" fontId="2" fillId="5" borderId="5" xfId="0" applyNumberFormat="1" applyFont="1" applyFill="1" applyBorder="1" applyAlignment="1" applyProtection="1">
      <alignment horizontal="center"/>
      <protection locked="0"/>
    </xf>
    <xf numFmtId="176" fontId="2" fillId="5" borderId="3" xfId="0" applyNumberFormat="1" applyFont="1" applyFill="1" applyBorder="1" applyAlignment="1" applyProtection="1">
      <alignment horizontal="center"/>
      <protection locked="0"/>
    </xf>
    <xf numFmtId="49" fontId="2" fillId="6" borderId="3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2" fontId="2" fillId="4" borderId="9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65" fontId="2" fillId="4" borderId="9" xfId="0" applyNumberFormat="1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10" fillId="6" borderId="31" xfId="0" applyFont="1" applyFill="1" applyBorder="1" applyAlignment="1">
      <alignment/>
    </xf>
    <xf numFmtId="0" fontId="10" fillId="6" borderId="31" xfId="0" applyFont="1" applyFill="1" applyBorder="1" applyAlignment="1">
      <alignment horizontal="center"/>
    </xf>
    <xf numFmtId="0" fontId="10" fillId="6" borderId="31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>
      <alignment/>
    </xf>
    <xf numFmtId="0" fontId="10" fillId="3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164" fontId="10" fillId="3" borderId="23" xfId="0" applyNumberFormat="1" applyFont="1" applyFill="1" applyBorder="1" applyAlignment="1" applyProtection="1">
      <alignment horizontal="center"/>
      <protection/>
    </xf>
    <xf numFmtId="0" fontId="10" fillId="5" borderId="12" xfId="0" applyFont="1" applyFill="1" applyBorder="1" applyAlignment="1">
      <alignment/>
    </xf>
    <xf numFmtId="0" fontId="10" fillId="5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64" fontId="10" fillId="5" borderId="12" xfId="0" applyNumberFormat="1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9" fillId="3" borderId="12" xfId="0" applyFont="1" applyFill="1" applyBorder="1" applyAlignment="1">
      <alignment horizontal="center"/>
    </xf>
    <xf numFmtId="164" fontId="10" fillId="3" borderId="12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23" xfId="0" applyNumberFormat="1" applyFont="1" applyFill="1" applyBorder="1" applyAlignment="1" applyProtection="1">
      <alignment horizontal="center"/>
      <protection/>
    </xf>
    <xf numFmtId="164" fontId="10" fillId="0" borderId="12" xfId="0" applyNumberFormat="1" applyFont="1" applyBorder="1" applyAlignment="1">
      <alignment horizontal="center"/>
    </xf>
    <xf numFmtId="0" fontId="10" fillId="7" borderId="12" xfId="0" applyFont="1" applyFill="1" applyBorder="1" applyAlignment="1">
      <alignment/>
    </xf>
    <xf numFmtId="0" fontId="10" fillId="7" borderId="12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165" fontId="10" fillId="7" borderId="12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/>
    </xf>
    <xf numFmtId="0" fontId="10" fillId="7" borderId="5" xfId="0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165" fontId="10" fillId="7" borderId="5" xfId="0" applyNumberFormat="1" applyFont="1" applyFill="1" applyBorder="1" applyAlignment="1">
      <alignment horizontal="center"/>
    </xf>
    <xf numFmtId="0" fontId="2" fillId="5" borderId="3" xfId="0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/>
      <protection/>
    </xf>
    <xf numFmtId="164" fontId="2" fillId="7" borderId="0" xfId="0" applyNumberFormat="1" applyFont="1" applyFill="1" applyBorder="1" applyAlignment="1" applyProtection="1">
      <alignment horizontal="left"/>
      <protection/>
    </xf>
    <xf numFmtId="0" fontId="0" fillId="7" borderId="0" xfId="0" applyFill="1" applyBorder="1" applyAlignment="1" applyProtection="1">
      <alignment/>
      <protection/>
    </xf>
    <xf numFmtId="165" fontId="0" fillId="7" borderId="0" xfId="0" applyNumberFormat="1" applyFill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2" fontId="0" fillId="5" borderId="31" xfId="0" applyNumberFormat="1" applyFont="1" applyFill="1" applyBorder="1" applyAlignment="1" applyProtection="1">
      <alignment horizontal="center"/>
      <protection locked="0"/>
    </xf>
    <xf numFmtId="2" fontId="0" fillId="5" borderId="3" xfId="0" applyNumberFormat="1" applyFon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3" xfId="0" applyNumberForma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 applyProtection="1">
      <alignment/>
      <protection locked="0"/>
    </xf>
    <xf numFmtId="2" fontId="37" fillId="5" borderId="4" xfId="0" applyNumberFormat="1" applyFont="1" applyFill="1" applyBorder="1" applyAlignment="1" applyProtection="1">
      <alignment horizontal="center"/>
      <protection locked="0"/>
    </xf>
    <xf numFmtId="2" fontId="0" fillId="5" borderId="4" xfId="0" applyNumberFormat="1" applyFont="1" applyFill="1" applyBorder="1" applyAlignment="1" applyProtection="1">
      <alignment horizontal="center"/>
      <protection locked="0"/>
    </xf>
    <xf numFmtId="2" fontId="0" fillId="5" borderId="10" xfId="0" applyNumberFormat="1" applyFont="1" applyFill="1" applyBorder="1" applyAlignment="1" applyProtection="1">
      <alignment horizontal="center"/>
      <protection locked="0"/>
    </xf>
    <xf numFmtId="169" fontId="10" fillId="5" borderId="12" xfId="0" applyNumberFormat="1" applyFont="1" applyFill="1" applyBorder="1" applyAlignment="1" applyProtection="1">
      <alignment horizontal="center"/>
      <protection locked="0"/>
    </xf>
    <xf numFmtId="0" fontId="2" fillId="6" borderId="25" xfId="0" applyFont="1" applyFill="1" applyBorder="1" applyAlignment="1" applyProtection="1">
      <alignment horizontal="center"/>
      <protection/>
    </xf>
    <xf numFmtId="0" fontId="0" fillId="6" borderId="26" xfId="0" applyFill="1" applyBorder="1" applyAlignment="1" applyProtection="1">
      <alignment horizontal="center"/>
      <protection/>
    </xf>
    <xf numFmtId="0" fontId="2" fillId="6" borderId="24" xfId="0" applyFont="1" applyFill="1" applyBorder="1" applyAlignment="1" applyProtection="1">
      <alignment horizontal="center"/>
      <protection/>
    </xf>
    <xf numFmtId="0" fontId="2" fillId="6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Konzentration am OdB cs2(t)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Wertetabelle!$A$5:$A$453</c:f>
              <c:numCache>
                <c:ptCount val="4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</c:numCache>
            </c:numRef>
          </c:xVal>
          <c:yVal>
            <c:numRef>
              <c:f>Wertetabelle!$B$5:$B$453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1.3433670328193782E-12</c:v>
                </c:pt>
                <c:pt idx="4">
                  <c:v>0.0017735943500518658</c:v>
                </c:pt>
                <c:pt idx="5">
                  <c:v>0.0025935984355740516</c:v>
                </c:pt>
                <c:pt idx="6">
                  <c:v>0.005811477578987478</c:v>
                </c:pt>
                <c:pt idx="7">
                  <c:v>0.018346318771023107</c:v>
                </c:pt>
                <c:pt idx="8">
                  <c:v>0.04919184762570694</c:v>
                </c:pt>
                <c:pt idx="9">
                  <c:v>0.11464660844922037</c:v>
                </c:pt>
                <c:pt idx="10">
                  <c:v>0.2375878872726389</c:v>
                </c:pt>
                <c:pt idx="11">
                  <c:v>0.44738954966305755</c:v>
                </c:pt>
                <c:pt idx="12">
                  <c:v>0.7817522052391723</c:v>
                </c:pt>
                <c:pt idx="13">
                  <c:v>1.2769312892487505</c:v>
                </c:pt>
                <c:pt idx="14">
                  <c:v>1.9892757492016244</c:v>
                </c:pt>
                <c:pt idx="15">
                  <c:v>2.9545866398621</c:v>
                </c:pt>
                <c:pt idx="16">
                  <c:v>4.224660424551985</c:v>
                </c:pt>
                <c:pt idx="17">
                  <c:v>5.843440059834393</c:v>
                </c:pt>
                <c:pt idx="18">
                  <c:v>7.85076863503491</c:v>
                </c:pt>
                <c:pt idx="19">
                  <c:v>10.275546799311996</c:v>
                </c:pt>
                <c:pt idx="20">
                  <c:v>13.15063121219282</c:v>
                </c:pt>
                <c:pt idx="21">
                  <c:v>16.50097679303144</c:v>
                </c:pt>
                <c:pt idx="22">
                  <c:v>20.33386736366083</c:v>
                </c:pt>
                <c:pt idx="23">
                  <c:v>24.659971556684468</c:v>
                </c:pt>
                <c:pt idx="24">
                  <c:v>29.482463277236093</c:v>
                </c:pt>
                <c:pt idx="25">
                  <c:v>34.78975631733192</c:v>
                </c:pt>
                <c:pt idx="26">
                  <c:v>40.58025612903293</c:v>
                </c:pt>
                <c:pt idx="27">
                  <c:v>46.83149683405645</c:v>
                </c:pt>
                <c:pt idx="28">
                  <c:v>53.52613918221323</c:v>
                </c:pt>
                <c:pt idx="29">
                  <c:v>60.643672723381314</c:v>
                </c:pt>
                <c:pt idx="30">
                  <c:v>68.15284663898638</c:v>
                </c:pt>
                <c:pt idx="31">
                  <c:v>76.02942860248731</c:v>
                </c:pt>
                <c:pt idx="32">
                  <c:v>84.23951967561152</c:v>
                </c:pt>
                <c:pt idx="33">
                  <c:v>92.75192873028573</c:v>
                </c:pt>
                <c:pt idx="34">
                  <c:v>101.53636729519349</c:v>
                </c:pt>
                <c:pt idx="35">
                  <c:v>110.55933640163857</c:v>
                </c:pt>
                <c:pt idx="36">
                  <c:v>119.79064978368115</c:v>
                </c:pt>
                <c:pt idx="37">
                  <c:v>129.19632070406806</c:v>
                </c:pt>
                <c:pt idx="38">
                  <c:v>138.74582124117296</c:v>
                </c:pt>
                <c:pt idx="39">
                  <c:v>148.4125431976281</c:v>
                </c:pt>
                <c:pt idx="40">
                  <c:v>158.16391460830346</c:v>
                </c:pt>
                <c:pt idx="41">
                  <c:v>167.96923275396693</c:v>
                </c:pt>
                <c:pt idx="42">
                  <c:v>177.81112656230107</c:v>
                </c:pt>
                <c:pt idx="43">
                  <c:v>187.6584198238561</c:v>
                </c:pt>
                <c:pt idx="44">
                  <c:v>197.48825547867455</c:v>
                </c:pt>
                <c:pt idx="45">
                  <c:v>207.28363349917345</c:v>
                </c:pt>
                <c:pt idx="46">
                  <c:v>217.02040607633535</c:v>
                </c:pt>
                <c:pt idx="47">
                  <c:v>226.68589570967015</c:v>
                </c:pt>
                <c:pt idx="48">
                  <c:v>236.25178617949132</c:v>
                </c:pt>
                <c:pt idx="49">
                  <c:v>245.7172847498441</c:v>
                </c:pt>
                <c:pt idx="50">
                  <c:v>255.05732842138968</c:v>
                </c:pt>
                <c:pt idx="51">
                  <c:v>264.2621364677325</c:v>
                </c:pt>
                <c:pt idx="52">
                  <c:v>273.32749828347005</c:v>
                </c:pt>
                <c:pt idx="53">
                  <c:v>282.23094386048615</c:v>
                </c:pt>
                <c:pt idx="54">
                  <c:v>290.9781671507517</c:v>
                </c:pt>
                <c:pt idx="55">
                  <c:v>299.5544766396051</c:v>
                </c:pt>
                <c:pt idx="56">
                  <c:v>307.95353155990597</c:v>
                </c:pt>
                <c:pt idx="57">
                  <c:v>316.17086999467574</c:v>
                </c:pt>
                <c:pt idx="58">
                  <c:v>324.1973852767842</c:v>
                </c:pt>
                <c:pt idx="59">
                  <c:v>332.04087520425674</c:v>
                </c:pt>
                <c:pt idx="60">
                  <c:v>339.69130229670554</c:v>
                </c:pt>
                <c:pt idx="61">
                  <c:v>347.14576427359134</c:v>
                </c:pt>
                <c:pt idx="62">
                  <c:v>354.4053057907149</c:v>
                </c:pt>
                <c:pt idx="63">
                  <c:v>361.4716875337763</c:v>
                </c:pt>
                <c:pt idx="64">
                  <c:v>368.3441218890948</c:v>
                </c:pt>
                <c:pt idx="65">
                  <c:v>375.01597291848157</c:v>
                </c:pt>
                <c:pt idx="66">
                  <c:v>381.499547814019</c:v>
                </c:pt>
                <c:pt idx="67">
                  <c:v>387.7875878009945</c:v>
                </c:pt>
                <c:pt idx="68">
                  <c:v>393.88503289665096</c:v>
                </c:pt>
                <c:pt idx="69">
                  <c:v>399.7950715565821</c:v>
                </c:pt>
                <c:pt idx="70">
                  <c:v>405.5192205822095</c:v>
                </c:pt>
                <c:pt idx="71">
                  <c:v>411.064427474048</c:v>
                </c:pt>
                <c:pt idx="72">
                  <c:v>416.42553989659064</c:v>
                </c:pt>
                <c:pt idx="73">
                  <c:v>421.60994468140416</c:v>
                </c:pt>
                <c:pt idx="74">
                  <c:v>426.62352780171204</c:v>
                </c:pt>
                <c:pt idx="75">
                  <c:v>431.4706780220149</c:v>
                </c:pt>
                <c:pt idx="76">
                  <c:v>436.1437413521344</c:v>
                </c:pt>
                <c:pt idx="77">
                  <c:v>440.66166412376333</c:v>
                </c:pt>
                <c:pt idx="78">
                  <c:v>445.0207697285805</c:v>
                </c:pt>
                <c:pt idx="79">
                  <c:v>449.22284283093177</c:v>
                </c:pt>
                <c:pt idx="80">
                  <c:v>453.27861008117907</c:v>
                </c:pt>
                <c:pt idx="81">
                  <c:v>457.1830928849522</c:v>
                </c:pt>
                <c:pt idx="82">
                  <c:v>460.9471964358818</c:v>
                </c:pt>
                <c:pt idx="83">
                  <c:v>464.57305499352515</c:v>
                </c:pt>
                <c:pt idx="84">
                  <c:v>468.0679773708107</c:v>
                </c:pt>
                <c:pt idx="85">
                  <c:v>471.42705617297906</c:v>
                </c:pt>
                <c:pt idx="86">
                  <c:v>474.6644159749849</c:v>
                </c:pt>
                <c:pt idx="87">
                  <c:v>477.7781741009676</c:v>
                </c:pt>
                <c:pt idx="88">
                  <c:v>480.771489617473</c:v>
                </c:pt>
                <c:pt idx="89">
                  <c:v>483.648905485461</c:v>
                </c:pt>
                <c:pt idx="90">
                  <c:v>486.416384880431</c:v>
                </c:pt>
                <c:pt idx="91">
                  <c:v>489.07767136843177</c:v>
                </c:pt>
                <c:pt idx="92">
                  <c:v>491.63424618309364</c:v>
                </c:pt>
                <c:pt idx="93">
                  <c:v>494.0887982302229</c:v>
                </c:pt>
                <c:pt idx="94">
                  <c:v>496.44862902350724</c:v>
                </c:pt>
                <c:pt idx="95">
                  <c:v>498.7116146439803</c:v>
                </c:pt>
                <c:pt idx="96">
                  <c:v>500.8871831334545</c:v>
                </c:pt>
                <c:pt idx="97">
                  <c:v>502.9752008646028</c:v>
                </c:pt>
                <c:pt idx="98">
                  <c:v>504.9764222363592</c:v>
                </c:pt>
                <c:pt idx="99">
                  <c:v>506.89953416149365</c:v>
                </c:pt>
                <c:pt idx="100">
                  <c:v>508.7469749705633</c:v>
                </c:pt>
                <c:pt idx="101">
                  <c:v>510.5114386678906</c:v>
                </c:pt>
                <c:pt idx="102">
                  <c:v>512.2109151285258</c:v>
                </c:pt>
                <c:pt idx="103">
                  <c:v>513.8359808246605</c:v>
                </c:pt>
                <c:pt idx="104">
                  <c:v>515.395397854445</c:v>
                </c:pt>
                <c:pt idx="105">
                  <c:v>516.8914933310589</c:v>
                </c:pt>
                <c:pt idx="106">
                  <c:v>518.3236495722667</c:v>
                </c:pt>
                <c:pt idx="107">
                  <c:v>519.6987743249338</c:v>
                </c:pt>
                <c:pt idx="108">
                  <c:v>521.0137101632426</c:v>
                </c:pt>
                <c:pt idx="109">
                  <c:v>522.2763037229015</c:v>
                </c:pt>
                <c:pt idx="110">
                  <c:v>523.4842493242468</c:v>
                </c:pt>
                <c:pt idx="111">
                  <c:v>524.6426562436682</c:v>
                </c:pt>
                <c:pt idx="112">
                  <c:v>525.7499478211685</c:v>
                </c:pt>
                <c:pt idx="113">
                  <c:v>526.8119091371773</c:v>
                </c:pt>
                <c:pt idx="114">
                  <c:v>527.8275750111789</c:v>
                </c:pt>
                <c:pt idx="115">
                  <c:v>528.799766463635</c:v>
                </c:pt>
                <c:pt idx="116">
                  <c:v>529.7315439333033</c:v>
                </c:pt>
                <c:pt idx="117">
                  <c:v>530.6226816559501</c:v>
                </c:pt>
                <c:pt idx="118">
                  <c:v>531.4766561110446</c:v>
                </c:pt>
                <c:pt idx="119">
                  <c:v>532.2936092816235</c:v>
                </c:pt>
                <c:pt idx="120">
                  <c:v>533.0773558052897</c:v>
                </c:pt>
                <c:pt idx="121">
                  <c:v>533.8248170512088</c:v>
                </c:pt>
                <c:pt idx="122">
                  <c:v>534.540074247343</c:v>
                </c:pt>
                <c:pt idx="123">
                  <c:v>535.2273068012437</c:v>
                </c:pt>
                <c:pt idx="124">
                  <c:v>535.8802422560984</c:v>
                </c:pt>
                <c:pt idx="125">
                  <c:v>536.5067458318663</c:v>
                </c:pt>
                <c:pt idx="126">
                  <c:v>537.1077159274137</c:v>
                </c:pt>
                <c:pt idx="127">
                  <c:v>537.6805851628887</c:v>
                </c:pt>
                <c:pt idx="128">
                  <c:v>538.2298619919311</c:v>
                </c:pt>
                <c:pt idx="129">
                  <c:v>538.7530474770756</c:v>
                </c:pt>
                <c:pt idx="130">
                  <c:v>539.25469425958</c:v>
                </c:pt>
                <c:pt idx="131">
                  <c:v>539.7323344317556</c:v>
                </c:pt>
                <c:pt idx="132">
                  <c:v>540.1940469564579</c:v>
                </c:pt>
                <c:pt idx="133">
                  <c:v>540.630328014231</c:v>
                </c:pt>
                <c:pt idx="134">
                  <c:v>541.0492359587806</c:v>
                </c:pt>
                <c:pt idx="135">
                  <c:v>541.4482618602051</c:v>
                </c:pt>
                <c:pt idx="136">
                  <c:v>541.831903563434</c:v>
                </c:pt>
                <c:pt idx="137">
                  <c:v>542.1975925601146</c:v>
                </c:pt>
                <c:pt idx="138">
                  <c:v>542.5497543870733</c:v>
                </c:pt>
                <c:pt idx="139">
                  <c:v>542.8857417929976</c:v>
                </c:pt>
                <c:pt idx="140">
                  <c:v>543.2028609538975</c:v>
                </c:pt>
                <c:pt idx="141">
                  <c:v>543.5089133174188</c:v>
                </c:pt>
                <c:pt idx="142">
                  <c:v>543.8011007652676</c:v>
                </c:pt>
                <c:pt idx="143">
                  <c:v>544.0800833504909</c:v>
                </c:pt>
                <c:pt idx="144">
                  <c:v>544.3429455626756</c:v>
                </c:pt>
                <c:pt idx="145">
                  <c:v>544.6007727314282</c:v>
                </c:pt>
                <c:pt idx="146">
                  <c:v>544.8434922987872</c:v>
                </c:pt>
                <c:pt idx="147">
                  <c:v>545.0785424131027</c:v>
                </c:pt>
                <c:pt idx="148">
                  <c:v>545.2992326740059</c:v>
                </c:pt>
                <c:pt idx="149">
                  <c:v>545.5093491404114</c:v>
                </c:pt>
                <c:pt idx="150">
                  <c:v>545.7126076860732</c:v>
                </c:pt>
                <c:pt idx="151">
                  <c:v>545.9091378404992</c:v>
                </c:pt>
                <c:pt idx="152">
                  <c:v>546.0919668359566</c:v>
                </c:pt>
                <c:pt idx="153">
                  <c:v>546.2716256159183</c:v>
                </c:pt>
                <c:pt idx="154">
                  <c:v>546.4374810795562</c:v>
                </c:pt>
                <c:pt idx="155">
                  <c:v>546.599918535685</c:v>
                </c:pt>
                <c:pt idx="156">
                  <c:v>546.7516741533473</c:v>
                </c:pt>
                <c:pt idx="157">
                  <c:v>546.8994717517489</c:v>
                </c:pt>
                <c:pt idx="158">
                  <c:v>547.0394178242714</c:v>
                </c:pt>
                <c:pt idx="159">
                  <c:v>547.1745757989993</c:v>
                </c:pt>
                <c:pt idx="160">
                  <c:v>547.3009069888576</c:v>
                </c:pt>
                <c:pt idx="161">
                  <c:v>547.4248470130988</c:v>
                </c:pt>
                <c:pt idx="162">
                  <c:v>547.5386996257839</c:v>
                </c:pt>
                <c:pt idx="163">
                  <c:v>547.6557897118255</c:v>
                </c:pt>
                <c:pt idx="164">
                  <c:v>547.7612509439496</c:v>
                </c:pt>
                <c:pt idx="165">
                  <c:v>547.8612396554126</c:v>
                </c:pt>
                <c:pt idx="166">
                  <c:v>547.9583291376912</c:v>
                </c:pt>
                <c:pt idx="167">
                  <c:v>548.0515106309213</c:v>
                </c:pt>
                <c:pt idx="168">
                  <c:v>548.1397094359636</c:v>
                </c:pt>
                <c:pt idx="169">
                  <c:v>548.225301169532</c:v>
                </c:pt>
                <c:pt idx="170">
                  <c:v>548.3035671496509</c:v>
                </c:pt>
                <c:pt idx="171">
                  <c:v>548.3837867491275</c:v>
                </c:pt>
                <c:pt idx="172">
                  <c:v>548.4540863403708</c:v>
                </c:pt>
                <c:pt idx="173">
                  <c:v>548.5271381885468</c:v>
                </c:pt>
                <c:pt idx="174">
                  <c:v>548.5944638364344</c:v>
                </c:pt>
                <c:pt idx="175">
                  <c:v>548.6580720288657</c:v>
                </c:pt>
                <c:pt idx="176">
                  <c:v>548.716399526802</c:v>
                </c:pt>
                <c:pt idx="177">
                  <c:v>548.7748571385055</c:v>
                </c:pt>
                <c:pt idx="178">
                  <c:v>548.8317705606278</c:v>
                </c:pt>
                <c:pt idx="179">
                  <c:v>548.8854118735162</c:v>
                </c:pt>
                <c:pt idx="180">
                  <c:v>548.9340006867224</c:v>
                </c:pt>
                <c:pt idx="181">
                  <c:v>548.9862509920385</c:v>
                </c:pt>
                <c:pt idx="182">
                  <c:v>549.0297353630012</c:v>
                </c:pt>
                <c:pt idx="183">
                  <c:v>549.0730687714404</c:v>
                </c:pt>
                <c:pt idx="184">
                  <c:v>549.1142726854378</c:v>
                </c:pt>
                <c:pt idx="185">
                  <c:v>549.1548372205671</c:v>
                </c:pt>
                <c:pt idx="186">
                  <c:v>549.1962070077079</c:v>
                </c:pt>
                <c:pt idx="187">
                  <c:v>549.2327518066759</c:v>
                </c:pt>
                <c:pt idx="188">
                  <c:v>549.2693439181494</c:v>
                </c:pt>
                <c:pt idx="189">
                  <c:v>549.3002677580535</c:v>
                </c:pt>
                <c:pt idx="190">
                  <c:v>549.3338275587575</c:v>
                </c:pt>
                <c:pt idx="191">
                  <c:v>549.364226806756</c:v>
                </c:pt>
                <c:pt idx="192">
                  <c:v>549.3926604115586</c:v>
                </c:pt>
                <c:pt idx="193">
                  <c:v>549.4202854553805</c:v>
                </c:pt>
                <c:pt idx="194">
                  <c:v>549.4447069959278</c:v>
                </c:pt>
                <c:pt idx="195">
                  <c:v>549.470524613298</c:v>
                </c:pt>
                <c:pt idx="196">
                  <c:v>549.4952726665588</c:v>
                </c:pt>
                <c:pt idx="197">
                  <c:v>549.5199668288933</c:v>
                </c:pt>
                <c:pt idx="198">
                  <c:v>549.5420746602122</c:v>
                </c:pt>
                <c:pt idx="199">
                  <c:v>549.5590317269716</c:v>
                </c:pt>
                <c:pt idx="200">
                  <c:v>549.5823033687429</c:v>
                </c:pt>
                <c:pt idx="201">
                  <c:v>549.6022335102225</c:v>
                </c:pt>
                <c:pt idx="202">
                  <c:v>549.6196823898345</c:v>
                </c:pt>
                <c:pt idx="203">
                  <c:v>549.6354817718611</c:v>
                </c:pt>
                <c:pt idx="204">
                  <c:v>549.6504359343817</c:v>
                </c:pt>
                <c:pt idx="205">
                  <c:v>549.6688375049644</c:v>
                </c:pt>
                <c:pt idx="206">
                  <c:v>549.684407531413</c:v>
                </c:pt>
                <c:pt idx="207">
                  <c:v>549.697872285924</c:v>
                </c:pt>
                <c:pt idx="208">
                  <c:v>549.7099335828352</c:v>
                </c:pt>
                <c:pt idx="209">
                  <c:v>549.7247848699317</c:v>
                </c:pt>
                <c:pt idx="210">
                  <c:v>549.7360508629981</c:v>
                </c:pt>
                <c:pt idx="211">
                  <c:v>549.7513949859012</c:v>
                </c:pt>
                <c:pt idx="212">
                  <c:v>549.7608830008403</c:v>
                </c:pt>
                <c:pt idx="213">
                  <c:v>549.7721358889635</c:v>
                </c:pt>
                <c:pt idx="214">
                  <c:v>549.7822086924089</c:v>
                </c:pt>
                <c:pt idx="215">
                  <c:v>549.7916521165507</c:v>
                </c:pt>
                <c:pt idx="216">
                  <c:v>549.8045131682829</c:v>
                </c:pt>
                <c:pt idx="217">
                  <c:v>549.8107595373881</c:v>
                </c:pt>
                <c:pt idx="218">
                  <c:v>549.8179172469804</c:v>
                </c:pt>
                <c:pt idx="219">
                  <c:v>549.8264646989583</c:v>
                </c:pt>
                <c:pt idx="220">
                  <c:v>549.8368636318219</c:v>
                </c:pt>
                <c:pt idx="221">
                  <c:v>549.8425292334559</c:v>
                </c:pt>
                <c:pt idx="222">
                  <c:v>549.8474067675829</c:v>
                </c:pt>
                <c:pt idx="223">
                  <c:v>549.8554264103518</c:v>
                </c:pt>
                <c:pt idx="224">
                  <c:v>549.8634733159736</c:v>
                </c:pt>
                <c:pt idx="225">
                  <c:v>549.8684185664235</c:v>
                </c:pt>
                <c:pt idx="226">
                  <c:v>549.8776669647405</c:v>
                </c:pt>
                <c:pt idx="227">
                  <c:v>549.8810807152153</c:v>
                </c:pt>
                <c:pt idx="228">
                  <c:v>549.8830626172925</c:v>
                </c:pt>
                <c:pt idx="229">
                  <c:v>549.890622970541</c:v>
                </c:pt>
                <c:pt idx="230">
                  <c:v>549.8946318756822</c:v>
                </c:pt>
                <c:pt idx="231">
                  <c:v>549.8978896917812</c:v>
                </c:pt>
                <c:pt idx="232">
                  <c:v>549.8895609694684</c:v>
                </c:pt>
                <c:pt idx="233">
                  <c:v>549.860077544713</c:v>
                </c:pt>
                <c:pt idx="234">
                  <c:v>549.8030750519206</c:v>
                </c:pt>
                <c:pt idx="235">
                  <c:v>549.6811177349514</c:v>
                </c:pt>
                <c:pt idx="236">
                  <c:v>549.4786326038536</c:v>
                </c:pt>
                <c:pt idx="237">
                  <c:v>549.1509391873763</c:v>
                </c:pt>
                <c:pt idx="238">
                  <c:v>548.6621619458106</c:v>
                </c:pt>
                <c:pt idx="239">
                  <c:v>547.9601495654151</c:v>
                </c:pt>
                <c:pt idx="240">
                  <c:v>547.0029979257561</c:v>
                </c:pt>
                <c:pt idx="241">
                  <c:v>545.736495128682</c:v>
                </c:pt>
                <c:pt idx="242">
                  <c:v>544.1284403282054</c:v>
                </c:pt>
                <c:pt idx="243">
                  <c:v>542.1296683783055</c:v>
                </c:pt>
                <c:pt idx="244">
                  <c:v>539.7159855796531</c:v>
                </c:pt>
                <c:pt idx="245">
                  <c:v>536.8521347414458</c:v>
                </c:pt>
                <c:pt idx="246">
                  <c:v>533.5141663792172</c:v>
                </c:pt>
                <c:pt idx="247">
                  <c:v>529.6921573781361</c:v>
                </c:pt>
                <c:pt idx="248">
                  <c:v>525.3796916191078</c:v>
                </c:pt>
                <c:pt idx="249">
                  <c:v>520.5706770940907</c:v>
                </c:pt>
                <c:pt idx="250">
                  <c:v>515.2666161303927</c:v>
                </c:pt>
                <c:pt idx="251">
                  <c:v>509.49053030557536</c:v>
                </c:pt>
                <c:pt idx="252">
                  <c:v>503.2510474138178</c:v>
                </c:pt>
                <c:pt idx="253">
                  <c:v>496.565627897553</c:v>
                </c:pt>
                <c:pt idx="254">
                  <c:v>489.45833384211426</c:v>
                </c:pt>
                <c:pt idx="255">
                  <c:v>481.9568652269993</c:v>
                </c:pt>
                <c:pt idx="256">
                  <c:v>474.0888753835577</c:v>
                </c:pt>
                <c:pt idx="257">
                  <c:v>465.88460685268274</c:v>
                </c:pt>
                <c:pt idx="258">
                  <c:v>457.3785942763834</c:v>
                </c:pt>
                <c:pt idx="259">
                  <c:v>448.59741135686875</c:v>
                </c:pt>
                <c:pt idx="260">
                  <c:v>439.5813717808196</c:v>
                </c:pt>
                <c:pt idx="261">
                  <c:v>430.3534082253591</c:v>
                </c:pt>
                <c:pt idx="262">
                  <c:v>420.95079682092944</c:v>
                </c:pt>
                <c:pt idx="263">
                  <c:v>411.4038424007517</c:v>
                </c:pt>
                <c:pt idx="264">
                  <c:v>401.74245178709066</c:v>
                </c:pt>
                <c:pt idx="265">
                  <c:v>391.9919609890726</c:v>
                </c:pt>
                <c:pt idx="266">
                  <c:v>382.1863941481822</c:v>
                </c:pt>
                <c:pt idx="267">
                  <c:v>372.34645718663864</c:v>
                </c:pt>
                <c:pt idx="268">
                  <c:v>362.4996472812129</c:v>
                </c:pt>
                <c:pt idx="269">
                  <c:v>352.6686733744143</c:v>
                </c:pt>
                <c:pt idx="270">
                  <c:v>342.87743412950533</c:v>
                </c:pt>
                <c:pt idx="271">
                  <c:v>333.13590089299646</c:v>
                </c:pt>
                <c:pt idx="272">
                  <c:v>323.4742287607389</c:v>
                </c:pt>
                <c:pt idx="273">
                  <c:v>313.9030743919577</c:v>
                </c:pt>
                <c:pt idx="274">
                  <c:v>304.44073700829506</c:v>
                </c:pt>
                <c:pt idx="275">
                  <c:v>295.09816493503104</c:v>
                </c:pt>
                <c:pt idx="276">
                  <c:v>285.892128201948</c:v>
                </c:pt>
                <c:pt idx="277">
                  <c:v>276.8268091303519</c:v>
                </c:pt>
                <c:pt idx="278">
                  <c:v>267.9141144465518</c:v>
                </c:pt>
                <c:pt idx="279">
                  <c:v>259.1659215376204</c:v>
                </c:pt>
                <c:pt idx="280">
                  <c:v>250.58637818055797</c:v>
                </c:pt>
                <c:pt idx="281">
                  <c:v>242.18535312664574</c:v>
                </c:pt>
                <c:pt idx="282">
                  <c:v>233.96732832625628</c:v>
                </c:pt>
                <c:pt idx="283">
                  <c:v>225.9344072339345</c:v>
                </c:pt>
                <c:pt idx="284">
                  <c:v>218.08585523969623</c:v>
                </c:pt>
                <c:pt idx="285">
                  <c:v>210.4387800991169</c:v>
                </c:pt>
                <c:pt idx="286">
                  <c:v>202.97855157117647</c:v>
                </c:pt>
                <c:pt idx="287">
                  <c:v>195.71471750623107</c:v>
                </c:pt>
                <c:pt idx="288">
                  <c:v>188.6455686622014</c:v>
                </c:pt>
                <c:pt idx="289">
                  <c:v>181.77897702773157</c:v>
                </c:pt>
                <c:pt idx="290">
                  <c:v>175.09351312910576</c:v>
                </c:pt>
                <c:pt idx="291">
                  <c:v>168.61207955179862</c:v>
                </c:pt>
                <c:pt idx="292">
                  <c:v>162.31738896080265</c:v>
                </c:pt>
                <c:pt idx="293">
                  <c:v>156.21862258426904</c:v>
                </c:pt>
                <c:pt idx="294">
                  <c:v>150.30562181618984</c:v>
                </c:pt>
                <c:pt idx="295">
                  <c:v>144.57341652414289</c:v>
                </c:pt>
                <c:pt idx="296">
                  <c:v>139.02918116201022</c:v>
                </c:pt>
                <c:pt idx="297">
                  <c:v>133.66406854681895</c:v>
                </c:pt>
                <c:pt idx="298">
                  <c:v>128.4742671079414</c:v>
                </c:pt>
                <c:pt idx="299">
                  <c:v>123.46098203138706</c:v>
                </c:pt>
                <c:pt idx="300">
                  <c:v>118.61285290966816</c:v>
                </c:pt>
                <c:pt idx="301">
                  <c:v>113.93407589599713</c:v>
                </c:pt>
                <c:pt idx="302">
                  <c:v>109.41630733344243</c:v>
                </c:pt>
                <c:pt idx="303">
                  <c:v>105.0562490031158</c:v>
                </c:pt>
                <c:pt idx="304">
                  <c:v>100.84865511349858</c:v>
                </c:pt>
                <c:pt idx="305">
                  <c:v>96.79339688565062</c:v>
                </c:pt>
                <c:pt idx="306">
                  <c:v>92.88495951264076</c:v>
                </c:pt>
                <c:pt idx="307">
                  <c:v>89.116001622304</c:v>
                </c:pt>
                <c:pt idx="308">
                  <c:v>85.48795253894093</c:v>
                </c:pt>
                <c:pt idx="309">
                  <c:v>81.99706558124262</c:v>
                </c:pt>
                <c:pt idx="310">
                  <c:v>78.62720058508512</c:v>
                </c:pt>
                <c:pt idx="311">
                  <c:v>75.38888274290548</c:v>
                </c:pt>
                <c:pt idx="312">
                  <c:v>72.27700644528989</c:v>
                </c:pt>
                <c:pt idx="313">
                  <c:v>69.28142190837332</c:v>
                </c:pt>
                <c:pt idx="314">
                  <c:v>66.39762414102995</c:v>
                </c:pt>
                <c:pt idx="315">
                  <c:v>63.63023254881557</c:v>
                </c:pt>
                <c:pt idx="316">
                  <c:v>60.96499289793496</c:v>
                </c:pt>
                <c:pt idx="317">
                  <c:v>58.411003221714395</c:v>
                </c:pt>
                <c:pt idx="318">
                  <c:v>55.95506084681472</c:v>
                </c:pt>
                <c:pt idx="319">
                  <c:v>53.58989537586501</c:v>
                </c:pt>
                <c:pt idx="320">
                  <c:v>51.32820532732171</c:v>
                </c:pt>
                <c:pt idx="321">
                  <c:v>49.14652937864332</c:v>
                </c:pt>
                <c:pt idx="322">
                  <c:v>47.062603759783656</c:v>
                </c:pt>
                <c:pt idx="323">
                  <c:v>45.05812320662881</c:v>
                </c:pt>
                <c:pt idx="324">
                  <c:v>43.13145496614652</c:v>
                </c:pt>
                <c:pt idx="325">
                  <c:v>41.287213753298374</c:v>
                </c:pt>
                <c:pt idx="326">
                  <c:v>39.51515123866602</c:v>
                </c:pt>
                <c:pt idx="327">
                  <c:v>37.81838874557616</c:v>
                </c:pt>
                <c:pt idx="328">
                  <c:v>36.18879309845488</c:v>
                </c:pt>
                <c:pt idx="329">
                  <c:v>34.6281660288505</c:v>
                </c:pt>
                <c:pt idx="330">
                  <c:v>33.1306822706872</c:v>
                </c:pt>
                <c:pt idx="331">
                  <c:v>31.69346041282995</c:v>
                </c:pt>
                <c:pt idx="332">
                  <c:v>30.320153494618353</c:v>
                </c:pt>
                <c:pt idx="333">
                  <c:v>29.006903241053237</c:v>
                </c:pt>
                <c:pt idx="334">
                  <c:v>27.742360885834614</c:v>
                </c:pt>
                <c:pt idx="335">
                  <c:v>26.535875277079754</c:v>
                </c:pt>
                <c:pt idx="336">
                  <c:v>25.375318690264294</c:v>
                </c:pt>
                <c:pt idx="337">
                  <c:v>24.26930929366199</c:v>
                </c:pt>
                <c:pt idx="338">
                  <c:v>23.208557140715584</c:v>
                </c:pt>
                <c:pt idx="339">
                  <c:v>22.183491716272215</c:v>
                </c:pt>
                <c:pt idx="340">
                  <c:v>21.2194227758705</c:v>
                </c:pt>
                <c:pt idx="341">
                  <c:v>20.28166132845797</c:v>
                </c:pt>
                <c:pt idx="342">
                  <c:v>19.39153246537012</c:v>
                </c:pt>
                <c:pt idx="343">
                  <c:v>18.535021402918687</c:v>
                </c:pt>
                <c:pt idx="344">
                  <c:v>17.715508206940626</c:v>
                </c:pt>
                <c:pt idx="345">
                  <c:v>16.936215014622235</c:v>
                </c:pt>
                <c:pt idx="346">
                  <c:v>16.186165581112164</c:v>
                </c:pt>
                <c:pt idx="347">
                  <c:v>15.468314623740184</c:v>
                </c:pt>
                <c:pt idx="348">
                  <c:v>14.785518004890037</c:v>
                </c:pt>
                <c:pt idx="349">
                  <c:v>14.129992030028006</c:v>
                </c:pt>
                <c:pt idx="350">
                  <c:v>13.500906239761093</c:v>
                </c:pt>
                <c:pt idx="351">
                  <c:v>12.90088127354693</c:v>
                </c:pt>
                <c:pt idx="352">
                  <c:v>12.328972893281161</c:v>
                </c:pt>
                <c:pt idx="353">
                  <c:v>11.78067608799006</c:v>
                </c:pt>
                <c:pt idx="354">
                  <c:v>11.25497736644786</c:v>
                </c:pt>
                <c:pt idx="355">
                  <c:v>10.7543572380456</c:v>
                </c:pt>
                <c:pt idx="356">
                  <c:v>10.274255646031747</c:v>
                </c:pt>
                <c:pt idx="357">
                  <c:v>9.813626308907828</c:v>
                </c:pt>
                <c:pt idx="358">
                  <c:v>9.37494451492023</c:v>
                </c:pt>
                <c:pt idx="359">
                  <c:v>8.957184101961502</c:v>
                </c:pt>
                <c:pt idx="360">
                  <c:v>8.55231005750636</c:v>
                </c:pt>
                <c:pt idx="361">
                  <c:v>8.17340179184248</c:v>
                </c:pt>
                <c:pt idx="362">
                  <c:v>7.805453011538134</c:v>
                </c:pt>
                <c:pt idx="363">
                  <c:v>7.458100093860253</c:v>
                </c:pt>
                <c:pt idx="364">
                  <c:v>7.1199302486506895</c:v>
                </c:pt>
                <c:pt idx="365">
                  <c:v>6.800668490518092</c:v>
                </c:pt>
                <c:pt idx="366">
                  <c:v>6.496029216322313</c:v>
                </c:pt>
                <c:pt idx="367">
                  <c:v>6.205295904484274</c:v>
                </c:pt>
                <c:pt idx="368">
                  <c:v>5.920778288084421</c:v>
                </c:pt>
                <c:pt idx="369">
                  <c:v>5.655937821468683</c:v>
                </c:pt>
                <c:pt idx="370">
                  <c:v>5.403204628570393</c:v>
                </c:pt>
                <c:pt idx="371">
                  <c:v>5.162105664738874</c:v>
                </c:pt>
                <c:pt idx="372">
                  <c:v>4.925202742329475</c:v>
                </c:pt>
                <c:pt idx="373">
                  <c:v>4.702701519833795</c:v>
                </c:pt>
                <c:pt idx="374">
                  <c:v>4.4908156854429535</c:v>
                </c:pt>
                <c:pt idx="375">
                  <c:v>4.289344398239223</c:v>
                </c:pt>
                <c:pt idx="376">
                  <c:v>4.091127463050157</c:v>
                </c:pt>
                <c:pt idx="377">
                  <c:v>3.910167685798683</c:v>
                </c:pt>
                <c:pt idx="378">
                  <c:v>3.7324186367269476</c:v>
                </c:pt>
                <c:pt idx="379">
                  <c:v>3.5649976830852665</c:v>
                </c:pt>
                <c:pt idx="380">
                  <c:v>3.408064828311126</c:v>
                </c:pt>
                <c:pt idx="381">
                  <c:v>3.247792012231571</c:v>
                </c:pt>
                <c:pt idx="382">
                  <c:v>3.1020614836227196</c:v>
                </c:pt>
                <c:pt idx="383">
                  <c:v>2.9642205425776638</c:v>
                </c:pt>
                <c:pt idx="384">
                  <c:v>2.8241747595026254</c:v>
                </c:pt>
                <c:pt idx="385">
                  <c:v>2.700023035778827</c:v>
                </c:pt>
                <c:pt idx="386">
                  <c:v>2.5782988021145457</c:v>
                </c:pt>
                <c:pt idx="387">
                  <c:v>2.4596672155873875</c:v>
                </c:pt>
                <c:pt idx="388">
                  <c:v>2.3518940277793945</c:v>
                </c:pt>
                <c:pt idx="389">
                  <c:v>2.241723186680588</c:v>
                </c:pt>
                <c:pt idx="390">
                  <c:v>2.1405737781082053</c:v>
                </c:pt>
                <c:pt idx="391">
                  <c:v>2.0423566497485126</c:v>
                </c:pt>
                <c:pt idx="392">
                  <c:v>1.948079895442902</c:v>
                </c:pt>
                <c:pt idx="393">
                  <c:v>1.8623327021684872</c:v>
                </c:pt>
                <c:pt idx="394">
                  <c:v>1.7757083976824788</c:v>
                </c:pt>
                <c:pt idx="395">
                  <c:v>1.6964401793666184</c:v>
                </c:pt>
                <c:pt idx="396">
                  <c:v>1.6152480136117902</c:v>
                </c:pt>
                <c:pt idx="397">
                  <c:v>1.5475200304006194</c:v>
                </c:pt>
                <c:pt idx="398">
                  <c:v>1.4735528455272515</c:v>
                </c:pt>
                <c:pt idx="399">
                  <c:v>1.4053395292196456</c:v>
                </c:pt>
                <c:pt idx="400">
                  <c:v>1.3479010254517334</c:v>
                </c:pt>
                <c:pt idx="401">
                  <c:v>1.281708731338199</c:v>
                </c:pt>
                <c:pt idx="402">
                  <c:v>1.2224423508516793</c:v>
                </c:pt>
                <c:pt idx="403">
                  <c:v>1.1682604040114484</c:v>
                </c:pt>
                <c:pt idx="404">
                  <c:v>1.1138597134081465</c:v>
                </c:pt>
                <c:pt idx="405">
                  <c:v>1.0610200119114097</c:v>
                </c:pt>
                <c:pt idx="406">
                  <c:v>1.0150876046734538</c:v>
                </c:pt>
                <c:pt idx="407">
                  <c:v>0.9709132150568394</c:v>
                </c:pt>
                <c:pt idx="408">
                  <c:v>0.9269116524212677</c:v>
                </c:pt>
                <c:pt idx="409">
                  <c:v>0.8815457049162205</c:v>
                </c:pt>
                <c:pt idx="410">
                  <c:v>0.8403550701355016</c:v>
                </c:pt>
                <c:pt idx="411">
                  <c:v>0.8054097700742204</c:v>
                </c:pt>
                <c:pt idx="412">
                  <c:v>0.7682785626008126</c:v>
                </c:pt>
                <c:pt idx="413">
                  <c:v>0.7346342967281316</c:v>
                </c:pt>
                <c:pt idx="414">
                  <c:v>0.6996463959419543</c:v>
                </c:pt>
                <c:pt idx="415">
                  <c:v>0.6690708914775314</c:v>
                </c:pt>
                <c:pt idx="416">
                  <c:v>0.638158201071974</c:v>
                </c:pt>
                <c:pt idx="417">
                  <c:v>0.6092280763060671</c:v>
                </c:pt>
                <c:pt idx="418">
                  <c:v>0.5776077076938009</c:v>
                </c:pt>
                <c:pt idx="419">
                  <c:v>0.5527220247673768</c:v>
                </c:pt>
                <c:pt idx="420">
                  <c:v>0.5264557492829454</c:v>
                </c:pt>
                <c:pt idx="421">
                  <c:v>0.5047892514135128</c:v>
                </c:pt>
                <c:pt idx="422">
                  <c:v>0.47616075114342493</c:v>
                </c:pt>
                <c:pt idx="423">
                  <c:v>0.460678352236755</c:v>
                </c:pt>
                <c:pt idx="424">
                  <c:v>0.4362995509567327</c:v>
                </c:pt>
                <c:pt idx="425">
                  <c:v>0.4161650526543781</c:v>
                </c:pt>
                <c:pt idx="426">
                  <c:v>0.3993849347767764</c:v>
                </c:pt>
                <c:pt idx="427">
                  <c:v>0.38158333282058265</c:v>
                </c:pt>
                <c:pt idx="428">
                  <c:v>0.365443274304198</c:v>
                </c:pt>
                <c:pt idx="429">
                  <c:v>0.3466449131930176</c:v>
                </c:pt>
                <c:pt idx="430">
                  <c:v>0.33495607332611144</c:v>
                </c:pt>
                <c:pt idx="431">
                  <c:v>0.31556414015506107</c:v>
                </c:pt>
                <c:pt idx="432">
                  <c:v>0.30180324258253677</c:v>
                </c:pt>
                <c:pt idx="433">
                  <c:v>0.2859408822852174</c:v>
                </c:pt>
                <c:pt idx="434">
                  <c:v>0.27432891525836567</c:v>
                </c:pt>
                <c:pt idx="435">
                  <c:v>0.2592814024750396</c:v>
                </c:pt>
                <c:pt idx="436">
                  <c:v>0.25071069786588396</c:v>
                </c:pt>
                <c:pt idx="437">
                  <c:v>0.2409746703115161</c:v>
                </c:pt>
                <c:pt idx="438">
                  <c:v>0.22596729294377838</c:v>
                </c:pt>
                <c:pt idx="439">
                  <c:v>0.21566364026148221</c:v>
                </c:pt>
                <c:pt idx="440">
                  <c:v>0.20951265651888207</c:v>
                </c:pt>
                <c:pt idx="441">
                  <c:v>0.19643676639407204</c:v>
                </c:pt>
                <c:pt idx="442">
                  <c:v>0.18646794010965095</c:v>
                </c:pt>
                <c:pt idx="443">
                  <c:v>0.17911034698533967</c:v>
                </c:pt>
                <c:pt idx="444">
                  <c:v>0.1738853015042423</c:v>
                </c:pt>
                <c:pt idx="445">
                  <c:v>0.16330047125711644</c:v>
                </c:pt>
                <c:pt idx="446">
                  <c:v>0.15745557880757133</c:v>
                </c:pt>
                <c:pt idx="447">
                  <c:v>0.1488899907949417</c:v>
                </c:pt>
              </c:numCache>
            </c:numRef>
          </c:yVal>
          <c:smooth val="0"/>
        </c:ser>
        <c:axId val="4593132"/>
        <c:axId val="41338189"/>
      </c:scatterChart>
      <c:val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crossBetween val="midCat"/>
        <c:dispUnits/>
      </c:val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Konzentration cs2(t)(mikro_g/l)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3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</xdr:row>
      <xdr:rowOff>114300</xdr:rowOff>
    </xdr:from>
    <xdr:to>
      <xdr:col>11</xdr:col>
      <xdr:colOff>428625</xdr:colOff>
      <xdr:row>18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571500"/>
          <a:ext cx="37719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14</xdr:row>
      <xdr:rowOff>104775</xdr:rowOff>
    </xdr:from>
    <xdr:to>
      <xdr:col>8</xdr:col>
      <xdr:colOff>590550</xdr:colOff>
      <xdr:row>17</xdr:row>
      <xdr:rowOff>66675</xdr:rowOff>
    </xdr:to>
    <xdr:sp>
      <xdr:nvSpPr>
        <xdr:cNvPr id="2" name="Line 18"/>
        <xdr:cNvSpPr>
          <a:spLocks/>
        </xdr:cNvSpPr>
      </xdr:nvSpPr>
      <xdr:spPr>
        <a:xfrm flipH="1">
          <a:off x="10544175" y="2552700"/>
          <a:ext cx="276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66675</xdr:rowOff>
    </xdr:from>
    <xdr:to>
      <xdr:col>9</xdr:col>
      <xdr:colOff>28575</xdr:colOff>
      <xdr:row>18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523875"/>
          <a:ext cx="34194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16</xdr:row>
      <xdr:rowOff>66675</xdr:rowOff>
    </xdr:from>
    <xdr:to>
      <xdr:col>8</xdr:col>
      <xdr:colOff>323850</xdr:colOff>
      <xdr:row>16</xdr:row>
      <xdr:rowOff>66675</xdr:rowOff>
    </xdr:to>
    <xdr:sp>
      <xdr:nvSpPr>
        <xdr:cNvPr id="2" name="Line 15"/>
        <xdr:cNvSpPr>
          <a:spLocks/>
        </xdr:cNvSpPr>
      </xdr:nvSpPr>
      <xdr:spPr>
        <a:xfrm flipV="1">
          <a:off x="8696325" y="2695575"/>
          <a:ext cx="297180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1876425</xdr:colOff>
      <xdr:row>15</xdr:row>
      <xdr:rowOff>28575</xdr:rowOff>
    </xdr:from>
    <xdr:to>
      <xdr:col>5</xdr:col>
      <xdr:colOff>2124075</xdr:colOff>
      <xdr:row>16</xdr:row>
      <xdr:rowOff>47625</xdr:rowOff>
    </xdr:to>
    <xdr:sp>
      <xdr:nvSpPr>
        <xdr:cNvPr id="3" name="Line 17"/>
        <xdr:cNvSpPr>
          <a:spLocks/>
        </xdr:cNvSpPr>
      </xdr:nvSpPr>
      <xdr:spPr>
        <a:xfrm flipH="1">
          <a:off x="9858375" y="2628900"/>
          <a:ext cx="247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0.83125</cdr:x>
      <cdr:y>0.10075</cdr:y>
    </cdr:from>
    <cdr:to>
      <cdr:x>0.95325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7677150" y="571500"/>
          <a:ext cx="1123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Fallbsp. 1/Basisfall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80"/>
  <sheetViews>
    <sheetView showGridLines="0" zoomScale="92" zoomScaleNormal="92" workbookViewId="0" topLeftCell="A1">
      <selection activeCell="D2" sqref="D2"/>
    </sheetView>
  </sheetViews>
  <sheetFormatPr defaultColWidth="11.421875" defaultRowHeight="12.75"/>
  <cols>
    <col min="1" max="1" width="34.7109375" style="36" customWidth="1"/>
    <col min="2" max="2" width="14.57421875" style="36" customWidth="1"/>
    <col min="3" max="3" width="14.421875" style="36" customWidth="1"/>
    <col min="4" max="4" width="40.140625" style="36" customWidth="1"/>
    <col min="5" max="5" width="15.28125" style="36" customWidth="1"/>
    <col min="6" max="16384" width="11.421875" style="36" customWidth="1"/>
  </cols>
  <sheetData>
    <row r="1" spans="1:9" ht="18">
      <c r="A1" s="34" t="s">
        <v>212</v>
      </c>
      <c r="B1" s="34"/>
      <c r="C1" s="35" t="s">
        <v>253</v>
      </c>
      <c r="D1" s="32" t="s">
        <v>252</v>
      </c>
      <c r="F1" s="37"/>
      <c r="G1" s="37"/>
      <c r="H1" s="37"/>
      <c r="I1" s="37"/>
    </row>
    <row r="2" spans="1:9" ht="18">
      <c r="A2" s="34" t="s">
        <v>192</v>
      </c>
      <c r="B2" s="38"/>
      <c r="C2" s="39" t="s">
        <v>254</v>
      </c>
      <c r="D2" s="33" t="s">
        <v>1144</v>
      </c>
      <c r="F2" s="40" t="s">
        <v>249</v>
      </c>
      <c r="G2" s="37"/>
      <c r="H2" s="37"/>
      <c r="I2" s="37"/>
    </row>
    <row r="3" spans="1:4" ht="12.75">
      <c r="A3" s="41" t="s">
        <v>178</v>
      </c>
      <c r="C3" s="42" t="s">
        <v>255</v>
      </c>
      <c r="D3" s="132">
        <f ca="1">NOW()</f>
        <v>39871.32576423611</v>
      </c>
    </row>
    <row r="4" ht="13.5" thickBot="1">
      <c r="A4" s="43" t="s">
        <v>179</v>
      </c>
    </row>
    <row r="5" spans="1:5" ht="12.75">
      <c r="A5" s="44" t="s">
        <v>0</v>
      </c>
      <c r="B5" s="322" t="s">
        <v>67</v>
      </c>
      <c r="C5" s="322" t="s">
        <v>1</v>
      </c>
      <c r="D5" s="332" t="s">
        <v>30</v>
      </c>
      <c r="E5" s="45"/>
    </row>
    <row r="6" spans="1:4" s="47" customFormat="1" ht="12.75">
      <c r="A6" s="46" t="s">
        <v>28</v>
      </c>
      <c r="B6" s="46"/>
      <c r="C6" s="46"/>
      <c r="D6" s="333" t="s">
        <v>140</v>
      </c>
    </row>
    <row r="7" spans="1:4" s="47" customFormat="1" ht="12.75">
      <c r="A7" s="46" t="s">
        <v>499</v>
      </c>
      <c r="B7" s="48" t="s">
        <v>498</v>
      </c>
      <c r="C7" s="49" t="s">
        <v>88</v>
      </c>
      <c r="D7" s="334">
        <v>5</v>
      </c>
    </row>
    <row r="8" spans="1:4" ht="14.25">
      <c r="A8" s="46" t="s">
        <v>2</v>
      </c>
      <c r="B8" s="48" t="s">
        <v>156</v>
      </c>
      <c r="C8" s="48" t="s">
        <v>157</v>
      </c>
      <c r="D8" s="334">
        <v>1700</v>
      </c>
    </row>
    <row r="9" spans="1:4" ht="12.75">
      <c r="A9" s="46" t="s">
        <v>70</v>
      </c>
      <c r="B9" s="48" t="s">
        <v>69</v>
      </c>
      <c r="C9" s="48" t="s">
        <v>4</v>
      </c>
      <c r="D9" s="334">
        <v>3.5</v>
      </c>
    </row>
    <row r="10" spans="1:4" ht="12.75">
      <c r="A10" s="46" t="s">
        <v>189</v>
      </c>
      <c r="B10" s="48" t="s">
        <v>158</v>
      </c>
      <c r="C10" s="48" t="s">
        <v>4</v>
      </c>
      <c r="D10" s="334">
        <v>0</v>
      </c>
    </row>
    <row r="11" spans="1:4" ht="12.75">
      <c r="A11" s="46" t="s">
        <v>190</v>
      </c>
      <c r="B11" s="48" t="s">
        <v>159</v>
      </c>
      <c r="C11" s="48" t="s">
        <v>4</v>
      </c>
      <c r="D11" s="334">
        <v>0.5</v>
      </c>
    </row>
    <row r="12" spans="1:4" ht="12.75">
      <c r="A12" s="341" t="s">
        <v>1093</v>
      </c>
      <c r="B12" s="552"/>
      <c r="C12" s="552"/>
      <c r="D12" s="559" t="s">
        <v>294</v>
      </c>
    </row>
    <row r="13" spans="1:4" ht="12.75">
      <c r="A13" s="46" t="s">
        <v>6</v>
      </c>
      <c r="B13" s="48" t="s">
        <v>160</v>
      </c>
      <c r="C13" s="48" t="s">
        <v>7</v>
      </c>
      <c r="D13" s="334">
        <v>23</v>
      </c>
    </row>
    <row r="14" spans="1:4" ht="14.25">
      <c r="A14" s="46" t="s">
        <v>8</v>
      </c>
      <c r="B14" s="49" t="s">
        <v>161</v>
      </c>
      <c r="C14" s="48" t="s">
        <v>162</v>
      </c>
      <c r="D14" s="568">
        <v>1.3</v>
      </c>
    </row>
    <row r="15" spans="1:4" ht="14.25">
      <c r="A15" s="46" t="s">
        <v>180</v>
      </c>
      <c r="B15" s="49" t="s">
        <v>163</v>
      </c>
      <c r="C15" s="48" t="s">
        <v>162</v>
      </c>
      <c r="D15" s="568">
        <v>1.5</v>
      </c>
    </row>
    <row r="16" spans="1:4" ht="12.75" hidden="1">
      <c r="A16" s="50"/>
      <c r="B16" s="51"/>
      <c r="C16" s="51"/>
      <c r="D16" s="567"/>
    </row>
    <row r="17" spans="1:4" ht="12.75" hidden="1">
      <c r="A17" s="50"/>
      <c r="B17" s="51"/>
      <c r="C17" s="51"/>
      <c r="D17" s="567"/>
    </row>
    <row r="18" spans="1:4" ht="12.75">
      <c r="A18" s="46" t="s">
        <v>9</v>
      </c>
      <c r="B18" s="48" t="s">
        <v>164</v>
      </c>
      <c r="C18" s="48" t="s">
        <v>10</v>
      </c>
      <c r="D18" s="568">
        <v>476</v>
      </c>
    </row>
    <row r="19" spans="1:4" ht="15.75">
      <c r="A19" s="52" t="s">
        <v>11</v>
      </c>
      <c r="B19" s="53" t="s">
        <v>165</v>
      </c>
      <c r="C19" s="53" t="s">
        <v>12</v>
      </c>
      <c r="D19" s="335">
        <f>D8*(D11-D10)*D14*1000*D18/1000000</f>
        <v>525.98</v>
      </c>
    </row>
    <row r="20" spans="1:4" ht="15.75">
      <c r="A20" s="54" t="s">
        <v>13</v>
      </c>
      <c r="B20" s="55" t="s">
        <v>166</v>
      </c>
      <c r="C20" s="55" t="s">
        <v>7</v>
      </c>
      <c r="D20" s="569">
        <v>10</v>
      </c>
    </row>
    <row r="21" spans="1:4" ht="15.75">
      <c r="A21" s="54" t="s">
        <v>250</v>
      </c>
      <c r="B21" s="55" t="s">
        <v>167</v>
      </c>
      <c r="C21" s="49" t="s">
        <v>88</v>
      </c>
      <c r="D21" s="566">
        <v>550</v>
      </c>
    </row>
    <row r="22" spans="1:4" ht="14.25" hidden="1">
      <c r="A22" s="54" t="s">
        <v>58</v>
      </c>
      <c r="B22" s="55" t="s">
        <v>191</v>
      </c>
      <c r="C22" s="49" t="s">
        <v>88</v>
      </c>
      <c r="D22" s="336">
        <v>0</v>
      </c>
    </row>
    <row r="23" spans="1:4" ht="14.25">
      <c r="A23" s="52" t="s">
        <v>14</v>
      </c>
      <c r="B23" s="53" t="s">
        <v>168</v>
      </c>
      <c r="C23" s="53" t="s">
        <v>15</v>
      </c>
      <c r="D23" s="335">
        <f>D19*1000000*D20/100/(D24*D8)</f>
        <v>225.01818181818183</v>
      </c>
    </row>
    <row r="24" spans="1:4" ht="15">
      <c r="A24" s="52" t="s">
        <v>16</v>
      </c>
      <c r="B24" s="53" t="s">
        <v>169</v>
      </c>
      <c r="C24" s="53" t="s">
        <v>170</v>
      </c>
      <c r="D24" s="335">
        <f>D25/1000*D21</f>
        <v>137.5</v>
      </c>
    </row>
    <row r="25" spans="1:4" ht="12.75">
      <c r="A25" s="46" t="s">
        <v>17</v>
      </c>
      <c r="B25" s="48" t="s">
        <v>171</v>
      </c>
      <c r="C25" s="48" t="s">
        <v>18</v>
      </c>
      <c r="D25" s="334">
        <v>250</v>
      </c>
    </row>
    <row r="26" spans="1:4" ht="14.25">
      <c r="A26" s="52" t="s">
        <v>19</v>
      </c>
      <c r="B26" s="53" t="s">
        <v>172</v>
      </c>
      <c r="C26" s="53" t="s">
        <v>4</v>
      </c>
      <c r="D26" s="335">
        <f>D9-D11</f>
        <v>3</v>
      </c>
    </row>
    <row r="27" spans="1:4" ht="14.25">
      <c r="A27" s="52" t="s">
        <v>20</v>
      </c>
      <c r="B27" s="53" t="s">
        <v>173</v>
      </c>
      <c r="C27" s="53" t="s">
        <v>21</v>
      </c>
      <c r="D27" s="335">
        <f>D25/1000/(D13/100)</f>
        <v>1.0869565217391304</v>
      </c>
    </row>
    <row r="28" spans="1:4" ht="14.25">
      <c r="A28" s="52" t="s">
        <v>22</v>
      </c>
      <c r="B28" s="53" t="s">
        <v>174</v>
      </c>
      <c r="C28" s="53" t="s">
        <v>15</v>
      </c>
      <c r="D28" s="335">
        <f>D26/D27*D33</f>
        <v>56.760000000000005</v>
      </c>
    </row>
    <row r="29" spans="1:4" ht="14.25">
      <c r="A29" s="46" t="s">
        <v>219</v>
      </c>
      <c r="B29" s="48" t="s">
        <v>220</v>
      </c>
      <c r="C29" s="56"/>
      <c r="D29" s="338">
        <v>0.1</v>
      </c>
    </row>
    <row r="30" spans="1:4" ht="14.25">
      <c r="A30" s="52" t="s">
        <v>23</v>
      </c>
      <c r="B30" s="57" t="s">
        <v>218</v>
      </c>
      <c r="C30" s="53" t="s">
        <v>4</v>
      </c>
      <c r="D30" s="337">
        <f>D26*D29</f>
        <v>0.30000000000000004</v>
      </c>
    </row>
    <row r="31" spans="1:4" ht="15">
      <c r="A31" s="52" t="s">
        <v>247</v>
      </c>
      <c r="B31" s="53" t="s">
        <v>217</v>
      </c>
      <c r="C31" s="53" t="s">
        <v>175</v>
      </c>
      <c r="D31" s="337">
        <f>D30*D27</f>
        <v>0.32608695652173914</v>
      </c>
    </row>
    <row r="32" spans="1:4" ht="14.25">
      <c r="A32" s="46" t="s">
        <v>246</v>
      </c>
      <c r="B32" s="48" t="s">
        <v>221</v>
      </c>
      <c r="C32" s="48" t="s">
        <v>24</v>
      </c>
      <c r="D32" s="338">
        <v>3</v>
      </c>
    </row>
    <row r="33" spans="1:4" ht="12.75">
      <c r="A33" s="52" t="s">
        <v>25</v>
      </c>
      <c r="B33" s="53" t="s">
        <v>89</v>
      </c>
      <c r="C33" s="53"/>
      <c r="D33" s="339">
        <f>1+D15/(D13/100)*D32</f>
        <v>20.565217391304348</v>
      </c>
    </row>
    <row r="34" spans="1:4" ht="14.25">
      <c r="A34" s="46" t="s">
        <v>26</v>
      </c>
      <c r="B34" s="48" t="s">
        <v>176</v>
      </c>
      <c r="C34" s="48" t="s">
        <v>15</v>
      </c>
      <c r="D34" s="338">
        <v>1000000</v>
      </c>
    </row>
    <row r="35" spans="1:4" ht="13.5" thickBot="1">
      <c r="A35" s="58" t="s">
        <v>181</v>
      </c>
      <c r="B35" s="59" t="s">
        <v>177</v>
      </c>
      <c r="C35" s="60" t="s">
        <v>27</v>
      </c>
      <c r="D35" s="340">
        <f>LN(2)/D34</f>
        <v>6.931471805599452E-07</v>
      </c>
    </row>
    <row r="36" ht="13.5" thickBot="1"/>
    <row r="37" spans="1:4" ht="18">
      <c r="A37" s="62" t="s">
        <v>92</v>
      </c>
      <c r="B37" s="63"/>
      <c r="C37" s="63"/>
      <c r="D37" s="64"/>
    </row>
    <row r="38" spans="1:4" ht="12.75" hidden="1">
      <c r="A38" s="65"/>
      <c r="B38" s="66"/>
      <c r="C38" s="66"/>
      <c r="D38" s="413"/>
    </row>
    <row r="39" spans="1:4" s="20" customFormat="1" ht="12.75" hidden="1">
      <c r="A39" s="415" t="s">
        <v>31</v>
      </c>
      <c r="B39" s="416"/>
      <c r="C39" s="416"/>
      <c r="D39" s="19"/>
    </row>
    <row r="40" spans="1:4" s="20" customFormat="1" ht="12.75" hidden="1">
      <c r="A40" s="415"/>
      <c r="B40" s="416"/>
      <c r="C40" s="416"/>
      <c r="D40" s="19"/>
    </row>
    <row r="41" spans="1:5" s="20" customFormat="1" ht="12.75" hidden="1">
      <c r="A41" s="415"/>
      <c r="B41" s="416"/>
      <c r="C41" s="416"/>
      <c r="D41" s="19">
        <v>4</v>
      </c>
      <c r="E41" s="20" t="s">
        <v>60</v>
      </c>
    </row>
    <row r="42" spans="1:5" s="20" customFormat="1" ht="12.75" hidden="1">
      <c r="A42" s="415"/>
      <c r="B42" s="416"/>
      <c r="C42" s="416" t="s">
        <v>15</v>
      </c>
      <c r="D42" s="19">
        <v>452</v>
      </c>
      <c r="E42" s="20">
        <f>D$42-$D$23</f>
        <v>226.98181818181817</v>
      </c>
    </row>
    <row r="43" spans="1:4" s="20" customFormat="1" ht="12.75" hidden="1">
      <c r="A43" s="415" t="s">
        <v>41</v>
      </c>
      <c r="B43" s="416"/>
      <c r="C43" s="416"/>
      <c r="D43" s="19"/>
    </row>
    <row r="44" spans="1:5" s="20" customFormat="1" ht="12.75" hidden="1">
      <c r="A44" s="415" t="s">
        <v>33</v>
      </c>
      <c r="B44" s="416"/>
      <c r="C44" s="416"/>
      <c r="D44" s="19">
        <f>EXP(-$D$35*D$42/$D$33)</f>
        <v>0.9999847655323478</v>
      </c>
      <c r="E44" s="20">
        <f>EXP(-$D$35*E$42/$D$33)</f>
        <v>0.9999923496453991</v>
      </c>
    </row>
    <row r="45" spans="1:5" s="20" customFormat="1" ht="12.75" hidden="1">
      <c r="A45" s="415" t="s">
        <v>40</v>
      </c>
      <c r="B45" s="416"/>
      <c r="C45" s="416"/>
      <c r="D45" s="19">
        <f>EXP(-($D$33*$D$26-$D$27*D$42)^2/(4*$D$31*$D$33*D$42))</f>
        <v>4082925.160323123</v>
      </c>
      <c r="E45" s="20">
        <f>EXP(-($D$33*$D$26-$D$27*E$42)^2/(4*$D$31*$D$33*E$42))</f>
        <v>276.6069598150844</v>
      </c>
    </row>
    <row r="46" spans="1:5" s="20" customFormat="1" ht="12.75" hidden="1">
      <c r="A46" s="415" t="s">
        <v>34</v>
      </c>
      <c r="B46" s="416"/>
      <c r="C46" s="416"/>
      <c r="D46" s="19">
        <f>$D$33*$D$26-$D$27*D$42</f>
        <v>-429.6086956521739</v>
      </c>
      <c r="E46" s="20">
        <f>$D$33*$D$26-$D$27*E$42</f>
        <v>-185.02371541501975</v>
      </c>
    </row>
    <row r="47" spans="1:5" s="20" customFormat="1" ht="12.75" hidden="1">
      <c r="A47" s="415" t="s">
        <v>35</v>
      </c>
      <c r="B47" s="416"/>
      <c r="C47" s="416"/>
      <c r="D47" s="19">
        <f>$D$33*$D$26+$D$27*D$42</f>
        <v>553</v>
      </c>
      <c r="E47" s="20">
        <f>$D$33*$D$26+$D$27*E$42</f>
        <v>308.4150197628458</v>
      </c>
    </row>
    <row r="48" spans="1:5" s="20" customFormat="1" ht="12.75" hidden="1">
      <c r="A48" s="415" t="s">
        <v>36</v>
      </c>
      <c r="B48" s="416"/>
      <c r="C48" s="416"/>
      <c r="D48" s="19">
        <f>2*SQRT($D$31*$D$33*D$42)</f>
        <v>110.11147470633468</v>
      </c>
      <c r="E48" s="20">
        <f>IF($D$31*$D$33*E$42&lt;0,0.001,2*SQRT($D$31*$D$33*E$42))</f>
        <v>78.02951310199134</v>
      </c>
    </row>
    <row r="49" spans="1:5" s="20" customFormat="1" ht="12.75" hidden="1">
      <c r="A49" s="415" t="s">
        <v>37</v>
      </c>
      <c r="B49" s="416"/>
      <c r="C49" s="416"/>
      <c r="D49" s="19">
        <f>SQRT(($D$27^2*D$42)/(PI()*$D$31*$D$33))</f>
        <v>5.034694088594482</v>
      </c>
      <c r="E49" s="20">
        <f>IF(E$42&lt;0,0.001,SQRT(($D$27^2*E$42)/(PI()*$D$31*$D$33)))</f>
        <v>3.567790999060161</v>
      </c>
    </row>
    <row r="50" spans="1:5" s="20" customFormat="1" ht="12.75" hidden="1">
      <c r="A50" s="415" t="s">
        <v>38</v>
      </c>
      <c r="B50" s="416"/>
      <c r="C50" s="416"/>
      <c r="D50" s="19">
        <f>IF(D46/D48&lt;0,1+_XLL.GAUSSFEHLER(-D46/D48),_XLL.GAUSSFKOMPL(D46/D48))</f>
        <v>1.9999999656470302</v>
      </c>
      <c r="E50" s="20">
        <f>IF(E46/E48&lt;0,1+_XLL.GAUSSFEHLER(-E46/E48),_XLL.GAUSSFKOMPL(E46/E48))</f>
        <v>1.999201705993527</v>
      </c>
    </row>
    <row r="51" spans="1:5" s="20" customFormat="1" ht="12.75" hidden="1">
      <c r="A51" s="415" t="s">
        <v>39</v>
      </c>
      <c r="B51" s="416"/>
      <c r="C51" s="416"/>
      <c r="D51" s="19">
        <f>IF(D47/D48&lt;0,1+_XLL.GAUSSFEHLER(-D47/D48),_XLL.GAUSSFKOMPL(D47/D48))</f>
        <v>1.2256862191861728E-12</v>
      </c>
      <c r="E51" s="20">
        <f>IF(E47/E48&lt;0,1+_XLL.GAUSSFEHLER(-E47/E48),_XLL.GAUSSFKOMPL(E47/E48))</f>
        <v>2.2740963445677664E-08</v>
      </c>
    </row>
    <row r="52" spans="1:5" s="20" customFormat="1" ht="12.75" hidden="1">
      <c r="A52" s="417" t="s">
        <v>32</v>
      </c>
      <c r="B52" s="418"/>
      <c r="C52" s="418"/>
      <c r="D52" s="21">
        <f>D44*(1-0.5*D50-D49*D45+0.5*(1+$D$27*$D$26/$D$31+$D$27^2*D$42/($D$31*$D$33))*EXP($D$27*$D$26/$D$31)*D51)</f>
        <v>-20555966.004881218</v>
      </c>
      <c r="E52" s="22">
        <f>E44*(1-0.5*E50-E49*E45+0.5*(1+$D$27*$D$26/$D$31+$D$27^2*E$42/($D$31*$D$33))*EXP($D$27*$D$26/$D$31)*E51)</f>
        <v>-986.8551020488098</v>
      </c>
    </row>
    <row r="53" spans="1:4" s="20" customFormat="1" ht="12.75" hidden="1">
      <c r="A53" s="415"/>
      <c r="B53" s="416"/>
      <c r="C53" s="416"/>
      <c r="D53" s="19"/>
    </row>
    <row r="54" spans="1:4" s="20" customFormat="1" ht="12.75" hidden="1">
      <c r="A54" s="415" t="s">
        <v>42</v>
      </c>
      <c r="B54" s="416"/>
      <c r="C54" s="416"/>
      <c r="D54" s="19"/>
    </row>
    <row r="55" spans="1:5" s="20" customFormat="1" ht="12.75" hidden="1">
      <c r="A55" s="415" t="s">
        <v>44</v>
      </c>
      <c r="B55" s="416"/>
      <c r="C55" s="416"/>
      <c r="D55" s="19">
        <f>$D$27*SQRT(1+4*$D$35*$D$31/$D$27^2)</f>
        <v>1.0869569376273591</v>
      </c>
      <c r="E55" s="20">
        <f>$D$27*SQRT(1+4*$D$35*$D$31/$D$27^2)</f>
        <v>1.0869569376273591</v>
      </c>
    </row>
    <row r="56" spans="1:5" s="20" customFormat="1" ht="12.75" hidden="1">
      <c r="A56" s="415" t="s">
        <v>43</v>
      </c>
      <c r="B56" s="416"/>
      <c r="C56" s="416"/>
      <c r="D56" s="19">
        <f>($D$27-D55)*$D$26/(2*$D$31)</f>
        <v>-1.913085852223162E-06</v>
      </c>
      <c r="E56" s="20">
        <f>($D$27-E55)*$D$26/(2*$D$31)</f>
        <v>-1.913085852223162E-06</v>
      </c>
    </row>
    <row r="57" spans="1:5" s="20" customFormat="1" ht="12.75" hidden="1">
      <c r="A57" s="415" t="s">
        <v>45</v>
      </c>
      <c r="B57" s="416"/>
      <c r="C57" s="416"/>
      <c r="D57" s="19">
        <f>($D$27+D55)*$D$26/(2*$D$31)</f>
        <v>10.000001913085852</v>
      </c>
      <c r="E57" s="20">
        <f>($D$27+E55)*$D$26/(2*$D$31)</f>
        <v>10.000001913085852</v>
      </c>
    </row>
    <row r="58" spans="1:5" s="20" customFormat="1" ht="12.75" hidden="1">
      <c r="A58" s="415" t="s">
        <v>49</v>
      </c>
      <c r="B58" s="416"/>
      <c r="C58" s="416"/>
      <c r="D58" s="19">
        <f>$D$27*$D$26/$D$31-$D$35*D$42/$D$33</f>
        <v>9.999984765416302</v>
      </c>
      <c r="E58" s="20">
        <f>$D$27*$D$26/$D$31-$D$35*E$42/$D$33</f>
        <v>9.999992349616136</v>
      </c>
    </row>
    <row r="59" spans="1:5" s="20" customFormat="1" ht="12.75" hidden="1">
      <c r="A59" s="415" t="s">
        <v>51</v>
      </c>
      <c r="B59" s="416"/>
      <c r="C59" s="416"/>
      <c r="D59" s="19">
        <f>$D$33*$D$26-D55*D$42</f>
        <v>-429.60888363365325</v>
      </c>
      <c r="E59" s="20">
        <f>$D$33*$D$26-E55*E$42</f>
        <v>-185.02380981408606</v>
      </c>
    </row>
    <row r="60" spans="1:5" s="20" customFormat="1" ht="12.75" hidden="1">
      <c r="A60" s="415" t="s">
        <v>52</v>
      </c>
      <c r="B60" s="416"/>
      <c r="C60" s="416"/>
      <c r="D60" s="19">
        <f>$D$33*$D$26+$D$27*D$42</f>
        <v>553</v>
      </c>
      <c r="E60" s="20">
        <f>$D$33*$D$26+$D$27*E$42</f>
        <v>308.4150197628458</v>
      </c>
    </row>
    <row r="61" spans="1:5" s="20" customFormat="1" ht="12.75" hidden="1">
      <c r="A61" s="415" t="s">
        <v>55</v>
      </c>
      <c r="B61" s="416"/>
      <c r="C61" s="416"/>
      <c r="D61" s="19">
        <f>$D$33*$D$26+D55*D$42</f>
        <v>553.0001879814794</v>
      </c>
      <c r="E61" s="20">
        <f>$D$33*$D$26+E55*E$42</f>
        <v>308.41511416191213</v>
      </c>
    </row>
    <row r="62" spans="1:5" s="20" customFormat="1" ht="12.75" hidden="1">
      <c r="A62" s="415" t="s">
        <v>46</v>
      </c>
      <c r="B62" s="416"/>
      <c r="C62" s="416"/>
      <c r="D62" s="19">
        <f aca="true" t="shared" si="0" ref="D62:E64">EXP(D56)</f>
        <v>0.9999980869159777</v>
      </c>
      <c r="E62" s="20">
        <f t="shared" si="0"/>
        <v>0.9999980869159777</v>
      </c>
    </row>
    <row r="63" spans="1:5" s="20" customFormat="1" ht="12.75" hidden="1">
      <c r="A63" s="415" t="s">
        <v>47</v>
      </c>
      <c r="B63" s="416"/>
      <c r="C63" s="416"/>
      <c r="D63" s="19">
        <f t="shared" si="0"/>
        <v>22026.507933367095</v>
      </c>
      <c r="E63" s="20">
        <f t="shared" si="0"/>
        <v>22026.507933367095</v>
      </c>
    </row>
    <row r="64" spans="1:5" s="20" customFormat="1" ht="12.75" hidden="1">
      <c r="A64" s="415" t="s">
        <v>48</v>
      </c>
      <c r="B64" s="416"/>
      <c r="C64" s="416"/>
      <c r="D64" s="19">
        <f t="shared" si="0"/>
        <v>22026.13023332608</v>
      </c>
      <c r="E64" s="20">
        <f t="shared" si="0"/>
        <v>22026.2972845328</v>
      </c>
    </row>
    <row r="65" spans="1:5" s="20" customFormat="1" ht="12.75" hidden="1">
      <c r="A65" s="415" t="s">
        <v>50</v>
      </c>
      <c r="B65" s="416"/>
      <c r="C65" s="416"/>
      <c r="D65" s="19">
        <f>IF(D59/D48&lt;0,1+_XLL.GAUSSFEHLER(-D59/D48),_XLL.GAUSSFKOMPL(D59/D48))</f>
        <v>1.999999965647502</v>
      </c>
      <c r="E65" s="20">
        <f>IF(E59/E48&lt;0,1+_XLL.GAUSSFEHLER(-E59/E48),_XLL.GAUSSFKOMPL(E59/E48))</f>
        <v>1.9992017109286677</v>
      </c>
    </row>
    <row r="66" spans="1:5" s="20" customFormat="1" ht="12.75" hidden="1">
      <c r="A66" s="415" t="s">
        <v>53</v>
      </c>
      <c r="B66" s="416"/>
      <c r="C66" s="416"/>
      <c r="D66" s="19">
        <f>IF(D60/D48&lt;0,1+_XLL.GAUSSFEHLER(-D60/D48),_XLL.GAUSSFKOMPL(D60/D48))</f>
        <v>1.2256862191861728E-12</v>
      </c>
      <c r="E66" s="20">
        <f>IF(E60/E48&lt;0,1+_XLL.GAUSSFEHLER(-E60/E48),_XLL.GAUSSFKOMPL(E60/E48))</f>
        <v>2.2740963445677664E-08</v>
      </c>
    </row>
    <row r="67" spans="1:5" s="20" customFormat="1" ht="12.75" hidden="1">
      <c r="A67" s="415" t="s">
        <v>54</v>
      </c>
      <c r="B67" s="416"/>
      <c r="C67" s="416"/>
      <c r="D67" s="19">
        <f>IF(D61/D48&lt;0,1+_XLL.GAUSSFEHLER(-D61/D48),_XLL.GAUSSFKOMPL(D61/D48))</f>
        <v>1.2256862191861728E-12</v>
      </c>
      <c r="E67" s="20">
        <f>IF(E61/E48&lt;0,1+_XLL.GAUSSFEHLER(-E61/E48),_XLL.GAUSSFKOMPL(E61/E48))</f>
        <v>2.2740739402671295E-08</v>
      </c>
    </row>
    <row r="68" spans="1:5" s="20" customFormat="1" ht="12.75" hidden="1">
      <c r="A68" s="417" t="s">
        <v>56</v>
      </c>
      <c r="B68" s="418"/>
      <c r="C68" s="418"/>
      <c r="D68" s="21">
        <f>$D$27/($D$27+D55)*D62*D65+$D$27/($D$27-D55)*D63*D67+$D$27^2/(2*$D$35*$D$31)*D64*D66</f>
        <v>0.9999966549935809</v>
      </c>
      <c r="E68" s="22">
        <f>$D$27/($D$27+E55)*E62*E65+$D$27/($D$27-E55)*E63*E67+$D$27^2/(2*$D$35*$D$31)*E64*E66</f>
        <v>0.9997259459194083</v>
      </c>
    </row>
    <row r="69" spans="1:4" ht="12.75" hidden="1">
      <c r="A69" s="65"/>
      <c r="B69" s="66"/>
      <c r="C69" s="66"/>
      <c r="D69" s="413"/>
    </row>
    <row r="70" spans="1:4" ht="23.25" customHeight="1" thickBot="1">
      <c r="A70" s="67" t="s">
        <v>239</v>
      </c>
      <c r="B70" s="68"/>
      <c r="C70" s="68"/>
      <c r="D70" s="414"/>
    </row>
    <row r="71" spans="1:4" ht="18" hidden="1">
      <c r="A71" s="69" t="s">
        <v>57</v>
      </c>
      <c r="B71" s="70"/>
      <c r="C71" s="71" t="s">
        <v>90</v>
      </c>
      <c r="D71" s="23">
        <f>IF(D$42&lt;=$D$23,$D$22*D52+$D$21*D68,$D$22*D52+$D$21*D68-$D$21*E68)</f>
        <v>0.1488899907949417</v>
      </c>
    </row>
    <row r="72" spans="1:4" ht="21">
      <c r="A72" s="72" t="s">
        <v>95</v>
      </c>
      <c r="B72" s="73" t="s">
        <v>222</v>
      </c>
      <c r="C72" s="74" t="s">
        <v>90</v>
      </c>
      <c r="D72" s="24">
        <v>549.8978896917812</v>
      </c>
    </row>
    <row r="73" spans="1:4" ht="21">
      <c r="A73" s="72" t="s">
        <v>231</v>
      </c>
      <c r="B73" s="73" t="s">
        <v>223</v>
      </c>
      <c r="C73" s="73" t="s">
        <v>15</v>
      </c>
      <c r="D73" s="24">
        <v>236</v>
      </c>
    </row>
    <row r="74" spans="1:4" ht="21">
      <c r="A74" s="72" t="s">
        <v>61</v>
      </c>
      <c r="B74" s="73" t="s">
        <v>224</v>
      </c>
      <c r="C74" s="73" t="s">
        <v>15</v>
      </c>
      <c r="D74" s="24">
        <v>21</v>
      </c>
    </row>
    <row r="75" spans="1:4" ht="21">
      <c r="A75" s="72" t="s">
        <v>62</v>
      </c>
      <c r="B75" s="73" t="s">
        <v>225</v>
      </c>
      <c r="C75" s="73" t="s">
        <v>15</v>
      </c>
      <c r="D75" s="24">
        <v>376</v>
      </c>
    </row>
    <row r="76" spans="1:4" ht="18" customHeight="1">
      <c r="A76" s="72" t="s">
        <v>244</v>
      </c>
      <c r="B76" s="73" t="s">
        <v>238</v>
      </c>
      <c r="C76" s="73" t="s">
        <v>233</v>
      </c>
      <c r="D76" s="25">
        <v>233.70660311900699</v>
      </c>
    </row>
    <row r="77" spans="1:4" ht="21">
      <c r="A77" s="75" t="s">
        <v>94</v>
      </c>
      <c r="B77" s="76" t="s">
        <v>226</v>
      </c>
      <c r="C77" s="76" t="s">
        <v>15</v>
      </c>
      <c r="D77" s="26">
        <v>355</v>
      </c>
    </row>
    <row r="78" spans="1:4" ht="21">
      <c r="A78" s="72" t="s">
        <v>230</v>
      </c>
      <c r="B78" s="73" t="s">
        <v>237</v>
      </c>
      <c r="C78" s="73" t="s">
        <v>12</v>
      </c>
      <c r="D78" s="24">
        <v>52.54842487861521</v>
      </c>
    </row>
    <row r="79" spans="1:4" ht="21">
      <c r="A79" s="72" t="s">
        <v>243</v>
      </c>
      <c r="B79" s="73" t="s">
        <v>240</v>
      </c>
      <c r="C79" s="73" t="s">
        <v>233</v>
      </c>
      <c r="D79" s="24">
        <v>148.0237320524372</v>
      </c>
    </row>
    <row r="80" spans="1:4" ht="23.25" thickBot="1">
      <c r="A80" s="77" t="s">
        <v>241</v>
      </c>
      <c r="B80" s="78" t="s">
        <v>242</v>
      </c>
      <c r="C80" s="79" t="s">
        <v>245</v>
      </c>
      <c r="D80" s="27">
        <v>137.4744724229453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300" verticalDpi="300" orientation="portrait" paperSize="9" scale="8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U206"/>
  <sheetViews>
    <sheetView workbookViewId="0" topLeftCell="A1">
      <pane xSplit="3" ySplit="12" topLeftCell="D6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P9" sqref="P9"/>
    </sheetView>
  </sheetViews>
  <sheetFormatPr defaultColWidth="11.421875" defaultRowHeight="12.75"/>
  <cols>
    <col min="1" max="1" width="27.00390625" style="36" customWidth="1"/>
    <col min="2" max="2" width="10.28125" style="138" hidden="1" customWidth="1"/>
    <col min="3" max="3" width="10.7109375" style="138" hidden="1" customWidth="1"/>
    <col min="4" max="4" width="10.28125" style="233" customWidth="1"/>
    <col min="5" max="5" width="10.7109375" style="233" customWidth="1"/>
    <col min="6" max="6" width="12.140625" style="233" hidden="1" customWidth="1"/>
    <col min="7" max="7" width="13.140625" style="233" customWidth="1"/>
    <col min="8" max="8" width="13.140625" style="233" hidden="1" customWidth="1"/>
    <col min="9" max="9" width="13.140625" style="233" customWidth="1"/>
    <col min="10" max="10" width="13.00390625" style="138" hidden="1" customWidth="1"/>
    <col min="11" max="11" width="13.00390625" style="138" customWidth="1"/>
    <col min="12" max="12" width="12.7109375" style="138" hidden="1" customWidth="1"/>
    <col min="13" max="13" width="12.7109375" style="138" customWidth="1"/>
    <col min="14" max="14" width="11.28125" style="138" hidden="1" customWidth="1"/>
    <col min="15" max="15" width="10.421875" style="138" customWidth="1"/>
    <col min="16" max="16384" width="11.421875" style="36" customWidth="1"/>
  </cols>
  <sheetData>
    <row r="1" ht="18">
      <c r="A1" s="2" t="s">
        <v>971</v>
      </c>
    </row>
    <row r="2" ht="15.75">
      <c r="A2" s="3" t="s">
        <v>972</v>
      </c>
    </row>
    <row r="3" spans="1:7" ht="12.75">
      <c r="A3" s="170"/>
      <c r="B3" s="234"/>
      <c r="D3" s="235"/>
      <c r="G3" s="309" t="s">
        <v>991</v>
      </c>
    </row>
    <row r="4" spans="1:7" ht="15.75">
      <c r="A4" s="105" t="s">
        <v>973</v>
      </c>
      <c r="G4" s="309" t="s">
        <v>990</v>
      </c>
    </row>
    <row r="5" ht="12.75">
      <c r="A5" s="45" t="s">
        <v>974</v>
      </c>
    </row>
    <row r="6" spans="1:13" ht="18">
      <c r="A6" s="45" t="s">
        <v>898</v>
      </c>
      <c r="D6" s="550" t="s">
        <v>1066</v>
      </c>
      <c r="E6" s="548"/>
      <c r="F6" s="548"/>
      <c r="G6" s="548"/>
      <c r="H6" s="548"/>
      <c r="I6" s="548"/>
      <c r="J6" s="549"/>
      <c r="K6" s="549"/>
      <c r="L6" s="549"/>
      <c r="M6" s="549"/>
    </row>
    <row r="7" spans="4:13" ht="18">
      <c r="D7" s="550" t="s">
        <v>1067</v>
      </c>
      <c r="E7" s="548"/>
      <c r="F7" s="548"/>
      <c r="G7" s="548"/>
      <c r="H7" s="548"/>
      <c r="I7" s="548"/>
      <c r="J7" s="549"/>
      <c r="K7" s="549"/>
      <c r="L7" s="549"/>
      <c r="M7" s="549"/>
    </row>
    <row r="8" ht="13.5" thickBot="1"/>
    <row r="9" spans="1:15" ht="12.75">
      <c r="A9" s="128" t="s">
        <v>110</v>
      </c>
      <c r="B9" s="190" t="s">
        <v>652</v>
      </c>
      <c r="C9" s="190" t="s">
        <v>653</v>
      </c>
      <c r="D9" s="129" t="s">
        <v>652</v>
      </c>
      <c r="E9" s="198" t="s">
        <v>653</v>
      </c>
      <c r="F9" s="129" t="s">
        <v>898</v>
      </c>
      <c r="G9" s="198" t="s">
        <v>898</v>
      </c>
      <c r="H9" s="198" t="s">
        <v>898</v>
      </c>
      <c r="I9" s="198" t="s">
        <v>898</v>
      </c>
      <c r="J9" s="129" t="s">
        <v>898</v>
      </c>
      <c r="K9" s="198" t="s">
        <v>898</v>
      </c>
      <c r="L9" s="198" t="s">
        <v>898</v>
      </c>
      <c r="M9" s="198" t="s">
        <v>898</v>
      </c>
      <c r="N9" s="198" t="s">
        <v>898</v>
      </c>
      <c r="O9" s="198" t="s">
        <v>898</v>
      </c>
    </row>
    <row r="10" spans="1:15" ht="12.75">
      <c r="A10" s="180"/>
      <c r="B10" s="191" t="s">
        <v>899</v>
      </c>
      <c r="C10" s="191" t="s">
        <v>900</v>
      </c>
      <c r="D10" s="181" t="s">
        <v>899</v>
      </c>
      <c r="E10" s="199" t="s">
        <v>900</v>
      </c>
      <c r="F10" s="181" t="s">
        <v>901</v>
      </c>
      <c r="G10" s="199" t="s">
        <v>901</v>
      </c>
      <c r="H10" s="199" t="s">
        <v>902</v>
      </c>
      <c r="I10" s="199" t="s">
        <v>902</v>
      </c>
      <c r="J10" s="181" t="s">
        <v>903</v>
      </c>
      <c r="K10" s="199" t="s">
        <v>903</v>
      </c>
      <c r="L10" s="199" t="s">
        <v>904</v>
      </c>
      <c r="M10" s="199" t="s">
        <v>904</v>
      </c>
      <c r="N10" s="199" t="s">
        <v>905</v>
      </c>
      <c r="O10" s="199" t="s">
        <v>905</v>
      </c>
    </row>
    <row r="11" spans="1:15" ht="12.75">
      <c r="A11" s="180" t="s">
        <v>516</v>
      </c>
      <c r="B11" s="191" t="s">
        <v>30</v>
      </c>
      <c r="C11" s="191" t="s">
        <v>30</v>
      </c>
      <c r="D11" s="181" t="s">
        <v>897</v>
      </c>
      <c r="E11" s="199" t="s">
        <v>897</v>
      </c>
      <c r="F11" s="181" t="s">
        <v>897</v>
      </c>
      <c r="G11" s="199" t="s">
        <v>897</v>
      </c>
      <c r="H11" s="199" t="s">
        <v>897</v>
      </c>
      <c r="I11" s="199" t="s">
        <v>897</v>
      </c>
      <c r="J11" s="181" t="s">
        <v>897</v>
      </c>
      <c r="K11" s="199" t="s">
        <v>897</v>
      </c>
      <c r="L11" s="199" t="s">
        <v>897</v>
      </c>
      <c r="M11" s="199" t="s">
        <v>897</v>
      </c>
      <c r="N11" s="199" t="s">
        <v>897</v>
      </c>
      <c r="O11" s="199" t="s">
        <v>897</v>
      </c>
    </row>
    <row r="12" spans="1:15" ht="13.5" thickBot="1">
      <c r="A12" s="117"/>
      <c r="B12" s="192" t="s">
        <v>570</v>
      </c>
      <c r="C12" s="192" t="s">
        <v>570</v>
      </c>
      <c r="D12" s="130" t="s">
        <v>851</v>
      </c>
      <c r="E12" s="200" t="s">
        <v>851</v>
      </c>
      <c r="F12" s="130" t="s">
        <v>906</v>
      </c>
      <c r="G12" s="200" t="s">
        <v>851</v>
      </c>
      <c r="H12" s="200" t="s">
        <v>906</v>
      </c>
      <c r="I12" s="200" t="s">
        <v>851</v>
      </c>
      <c r="J12" s="130" t="s">
        <v>906</v>
      </c>
      <c r="K12" s="200" t="s">
        <v>851</v>
      </c>
      <c r="L12" s="200" t="s">
        <v>906</v>
      </c>
      <c r="M12" s="200" t="s">
        <v>851</v>
      </c>
      <c r="N12" s="200" t="s">
        <v>906</v>
      </c>
      <c r="O12" s="200" t="s">
        <v>851</v>
      </c>
    </row>
    <row r="13" spans="1:15" ht="12.75">
      <c r="A13" s="188" t="s">
        <v>339</v>
      </c>
      <c r="B13" s="236"/>
      <c r="C13" s="236"/>
      <c r="D13" s="304"/>
      <c r="E13" s="305"/>
      <c r="F13" s="304"/>
      <c r="G13" s="305"/>
      <c r="H13" s="305"/>
      <c r="I13" s="305"/>
      <c r="J13" s="304"/>
      <c r="K13" s="305"/>
      <c r="L13" s="305"/>
      <c r="M13" s="305"/>
      <c r="N13" s="305"/>
      <c r="O13" s="305"/>
    </row>
    <row r="14" spans="1:15" ht="12.75">
      <c r="A14" s="187" t="s">
        <v>506</v>
      </c>
      <c r="B14" s="236">
        <v>3.3691</v>
      </c>
      <c r="C14" s="236">
        <v>4.0329</v>
      </c>
      <c r="D14" s="304">
        <f aca="true" t="shared" si="0" ref="D14:D34">EXP(8.87-1.93*$B14)/365</f>
        <v>0.02923875120141624</v>
      </c>
      <c r="E14" s="305">
        <f aca="true" t="shared" si="1" ref="E14:E34">EXP(8.87-1.93*$C14)/365</f>
        <v>0.008120249866199927</v>
      </c>
      <c r="F14" s="304" t="s">
        <v>963</v>
      </c>
      <c r="G14" s="305" t="str">
        <f>IF(ISNUMBER(F14),F14/365,"-")</f>
        <v>-</v>
      </c>
      <c r="H14" s="304" t="s">
        <v>963</v>
      </c>
      <c r="I14" s="305" t="str">
        <f>IF(ISNUMBER(H14),H14/365,"-")</f>
        <v>-</v>
      </c>
      <c r="J14" s="304" t="s">
        <v>963</v>
      </c>
      <c r="K14" s="305" t="str">
        <f aca="true" t="shared" si="2" ref="K14:K34">IF(ISNUMBER(J14),J14/365,"-")</f>
        <v>-</v>
      </c>
      <c r="L14" s="304" t="s">
        <v>963</v>
      </c>
      <c r="M14" s="305" t="str">
        <f aca="true" t="shared" si="3" ref="M14:M34">IF(ISNUMBER(L14),L14/365,"-")</f>
        <v>-</v>
      </c>
      <c r="N14" s="304" t="s">
        <v>963</v>
      </c>
      <c r="O14" s="305" t="str">
        <f aca="true" t="shared" si="4" ref="O14:O34">IF(ISNUMBER(N14),N14/365,"-")</f>
        <v>-</v>
      </c>
    </row>
    <row r="15" spans="1:15" ht="12.75">
      <c r="A15" s="187" t="s">
        <v>505</v>
      </c>
      <c r="B15" s="236">
        <v>3.0707</v>
      </c>
      <c r="C15" s="236">
        <v>3.7639</v>
      </c>
      <c r="D15" s="304">
        <f t="shared" si="0"/>
        <v>0.05200848744713307</v>
      </c>
      <c r="E15" s="305">
        <f t="shared" si="1"/>
        <v>0.013647152958393829</v>
      </c>
      <c r="F15" s="304" t="s">
        <v>963</v>
      </c>
      <c r="G15" s="305" t="str">
        <f aca="true" t="shared" si="5" ref="G15:I34">IF(ISNUMBER(F15),F15/365,"-")</f>
        <v>-</v>
      </c>
      <c r="H15" s="304" t="s">
        <v>963</v>
      </c>
      <c r="I15" s="305" t="str">
        <f t="shared" si="5"/>
        <v>-</v>
      </c>
      <c r="J15" s="304" t="s">
        <v>963</v>
      </c>
      <c r="K15" s="305" t="str">
        <f t="shared" si="2"/>
        <v>-</v>
      </c>
      <c r="L15" s="304" t="s">
        <v>963</v>
      </c>
      <c r="M15" s="305" t="str">
        <f t="shared" si="3"/>
        <v>-</v>
      </c>
      <c r="N15" s="304" t="s">
        <v>963</v>
      </c>
      <c r="O15" s="305" t="str">
        <f t="shared" si="4"/>
        <v>-</v>
      </c>
    </row>
    <row r="16" spans="1:15" ht="12.75">
      <c r="A16" s="187" t="s">
        <v>346</v>
      </c>
      <c r="B16" s="236">
        <v>3.3381</v>
      </c>
      <c r="C16" s="236">
        <v>4.0127</v>
      </c>
      <c r="D16" s="304">
        <f t="shared" si="0"/>
        <v>0.031041497097929128</v>
      </c>
      <c r="E16" s="305">
        <f t="shared" si="1"/>
        <v>0.008443077926820423</v>
      </c>
      <c r="F16" s="304" t="s">
        <v>963</v>
      </c>
      <c r="G16" s="305" t="str">
        <f t="shared" si="5"/>
        <v>-</v>
      </c>
      <c r="H16" s="304" t="s">
        <v>963</v>
      </c>
      <c r="I16" s="305" t="str">
        <f t="shared" si="5"/>
        <v>-</v>
      </c>
      <c r="J16" s="304" t="s">
        <v>963</v>
      </c>
      <c r="K16" s="305" t="str">
        <f t="shared" si="2"/>
        <v>-</v>
      </c>
      <c r="L16" s="304" t="s">
        <v>963</v>
      </c>
      <c r="M16" s="305" t="str">
        <f t="shared" si="3"/>
        <v>-</v>
      </c>
      <c r="N16" s="304" t="s">
        <v>963</v>
      </c>
      <c r="O16" s="305" t="str">
        <f t="shared" si="4"/>
        <v>-</v>
      </c>
    </row>
    <row r="17" spans="1:15" ht="12.75">
      <c r="A17" s="187" t="s">
        <v>342</v>
      </c>
      <c r="B17" s="236">
        <v>3.0397</v>
      </c>
      <c r="C17" s="236">
        <v>3.7436</v>
      </c>
      <c r="D17" s="304">
        <f t="shared" si="0"/>
        <v>0.055215125332701176</v>
      </c>
      <c r="E17" s="305">
        <f t="shared" si="1"/>
        <v>0.01419244705266274</v>
      </c>
      <c r="F17" s="304" t="s">
        <v>963</v>
      </c>
      <c r="G17" s="305" t="str">
        <f t="shared" si="5"/>
        <v>-</v>
      </c>
      <c r="H17" s="304" t="s">
        <v>963</v>
      </c>
      <c r="I17" s="305" t="str">
        <f t="shared" si="5"/>
        <v>-</v>
      </c>
      <c r="J17" s="304" t="s">
        <v>963</v>
      </c>
      <c r="K17" s="305" t="str">
        <f t="shared" si="2"/>
        <v>-</v>
      </c>
      <c r="L17" s="304" t="s">
        <v>963</v>
      </c>
      <c r="M17" s="305" t="str">
        <f t="shared" si="3"/>
        <v>-</v>
      </c>
      <c r="N17" s="304" t="s">
        <v>963</v>
      </c>
      <c r="O17" s="305" t="str">
        <f t="shared" si="4"/>
        <v>-</v>
      </c>
    </row>
    <row r="18" spans="1:15" ht="12.75">
      <c r="A18" s="187" t="s">
        <v>347</v>
      </c>
      <c r="B18" s="236">
        <v>3.0442</v>
      </c>
      <c r="C18" s="236">
        <v>3.7465</v>
      </c>
      <c r="D18" s="304">
        <f t="shared" si="0"/>
        <v>0.054737658370712206</v>
      </c>
      <c r="E18" s="305">
        <f t="shared" si="1"/>
        <v>0.01411323381155298</v>
      </c>
      <c r="F18" s="304" t="s">
        <v>963</v>
      </c>
      <c r="G18" s="305" t="str">
        <f t="shared" si="5"/>
        <v>-</v>
      </c>
      <c r="H18" s="304" t="s">
        <v>963</v>
      </c>
      <c r="I18" s="305" t="str">
        <f t="shared" si="5"/>
        <v>-</v>
      </c>
      <c r="J18" s="304" t="s">
        <v>963</v>
      </c>
      <c r="K18" s="305" t="str">
        <f t="shared" si="2"/>
        <v>-</v>
      </c>
      <c r="L18" s="304" t="s">
        <v>963</v>
      </c>
      <c r="M18" s="305" t="str">
        <f t="shared" si="3"/>
        <v>-</v>
      </c>
      <c r="N18" s="304" t="s">
        <v>963</v>
      </c>
      <c r="O18" s="305" t="str">
        <f t="shared" si="4"/>
        <v>-</v>
      </c>
    </row>
    <row r="19" spans="1:15" ht="12.75">
      <c r="A19" s="187" t="s">
        <v>350</v>
      </c>
      <c r="B19" s="236">
        <v>3.3071</v>
      </c>
      <c r="C19" s="236">
        <v>3.9925</v>
      </c>
      <c r="D19" s="304">
        <f t="shared" si="0"/>
        <v>0.03295539318498897</v>
      </c>
      <c r="E19" s="305">
        <f t="shared" si="1"/>
        <v>0.00877874031624129</v>
      </c>
      <c r="F19" s="304">
        <v>70.8</v>
      </c>
      <c r="G19" s="305">
        <f t="shared" si="5"/>
        <v>0.19397260273972602</v>
      </c>
      <c r="H19" s="305">
        <v>70.8</v>
      </c>
      <c r="I19" s="305">
        <f t="shared" si="5"/>
        <v>0.19397260273972602</v>
      </c>
      <c r="J19" s="304">
        <v>70.8</v>
      </c>
      <c r="K19" s="305">
        <f t="shared" si="2"/>
        <v>0.19397260273972602</v>
      </c>
      <c r="L19" s="305">
        <v>70.8</v>
      </c>
      <c r="M19" s="305">
        <f t="shared" si="3"/>
        <v>0.19397260273972602</v>
      </c>
      <c r="N19" s="305">
        <v>229</v>
      </c>
      <c r="O19" s="305">
        <f t="shared" si="4"/>
        <v>0.6273972602739726</v>
      </c>
    </row>
    <row r="20" spans="1:15" ht="12.75">
      <c r="A20" s="187" t="s">
        <v>507</v>
      </c>
      <c r="B20" s="236">
        <v>3.0087</v>
      </c>
      <c r="C20" s="236">
        <v>3.7234</v>
      </c>
      <c r="D20" s="304">
        <f t="shared" si="0"/>
        <v>0.05861947184303188</v>
      </c>
      <c r="E20" s="305">
        <f t="shared" si="1"/>
        <v>0.014756680941147049</v>
      </c>
      <c r="F20" s="304"/>
      <c r="G20" s="305" t="str">
        <f t="shared" si="5"/>
        <v>-</v>
      </c>
      <c r="H20" s="305"/>
      <c r="I20" s="305" t="str">
        <f t="shared" si="5"/>
        <v>-</v>
      </c>
      <c r="J20" s="304"/>
      <c r="K20" s="305" t="str">
        <f t="shared" si="2"/>
        <v>-</v>
      </c>
      <c r="L20" s="305"/>
      <c r="M20" s="305" t="str">
        <f t="shared" si="3"/>
        <v>-</v>
      </c>
      <c r="N20" s="305"/>
      <c r="O20" s="305" t="str">
        <f t="shared" si="4"/>
        <v>-</v>
      </c>
    </row>
    <row r="21" spans="1:15" ht="12.75">
      <c r="A21" s="187" t="s">
        <v>348</v>
      </c>
      <c r="B21" s="236">
        <v>3.0132</v>
      </c>
      <c r="C21" s="236">
        <v>3.7263</v>
      </c>
      <c r="D21" s="304">
        <f t="shared" si="0"/>
        <v>0.058112566154316384</v>
      </c>
      <c r="E21" s="305">
        <f t="shared" si="1"/>
        <v>0.014674318504209046</v>
      </c>
      <c r="F21" s="304">
        <v>104</v>
      </c>
      <c r="G21" s="305">
        <f t="shared" si="5"/>
        <v>0.28493150684931506</v>
      </c>
      <c r="H21" s="305">
        <v>98</v>
      </c>
      <c r="I21" s="305">
        <f t="shared" si="5"/>
        <v>0.2684931506849315</v>
      </c>
      <c r="J21" s="304">
        <v>98</v>
      </c>
      <c r="K21" s="305">
        <f t="shared" si="2"/>
        <v>0.2684931506849315</v>
      </c>
      <c r="L21" s="305">
        <v>208</v>
      </c>
      <c r="M21" s="305">
        <f t="shared" si="3"/>
        <v>0.5698630136986301</v>
      </c>
      <c r="N21" s="305">
        <v>245</v>
      </c>
      <c r="O21" s="305">
        <f t="shared" si="4"/>
        <v>0.6712328767123288</v>
      </c>
    </row>
    <row r="22" spans="1:15" ht="12.75">
      <c r="A22" s="187" t="s">
        <v>370</v>
      </c>
      <c r="B22" s="236">
        <v>3.2761</v>
      </c>
      <c r="C22" s="236">
        <v>3.9722</v>
      </c>
      <c r="D22" s="304">
        <f t="shared" si="0"/>
        <v>0.03498729254426564</v>
      </c>
      <c r="E22" s="305">
        <f t="shared" si="1"/>
        <v>0.00912950910033573</v>
      </c>
      <c r="F22" s="304" t="s">
        <v>963</v>
      </c>
      <c r="G22" s="305" t="str">
        <f t="shared" si="5"/>
        <v>-</v>
      </c>
      <c r="H22" s="304" t="s">
        <v>963</v>
      </c>
      <c r="I22" s="305" t="str">
        <f t="shared" si="5"/>
        <v>-</v>
      </c>
      <c r="J22" s="304" t="s">
        <v>963</v>
      </c>
      <c r="K22" s="305" t="str">
        <f t="shared" si="2"/>
        <v>-</v>
      </c>
      <c r="L22" s="304" t="s">
        <v>963</v>
      </c>
      <c r="M22" s="305" t="str">
        <f t="shared" si="3"/>
        <v>-</v>
      </c>
      <c r="N22" s="304" t="s">
        <v>963</v>
      </c>
      <c r="O22" s="305" t="str">
        <f t="shared" si="4"/>
        <v>-</v>
      </c>
    </row>
    <row r="23" spans="1:15" ht="12.75">
      <c r="A23" s="187" t="s">
        <v>369</v>
      </c>
      <c r="B23" s="236">
        <v>3.2761</v>
      </c>
      <c r="C23" s="236">
        <v>3.9722</v>
      </c>
      <c r="D23" s="304">
        <f t="shared" si="0"/>
        <v>0.03498729254426564</v>
      </c>
      <c r="E23" s="305">
        <f t="shared" si="1"/>
        <v>0.00912950910033573</v>
      </c>
      <c r="F23" s="304" t="s">
        <v>963</v>
      </c>
      <c r="G23" s="305" t="str">
        <f t="shared" si="5"/>
        <v>-</v>
      </c>
      <c r="H23" s="304" t="s">
        <v>963</v>
      </c>
      <c r="I23" s="305" t="str">
        <f t="shared" si="5"/>
        <v>-</v>
      </c>
      <c r="J23" s="304" t="s">
        <v>963</v>
      </c>
      <c r="K23" s="305" t="str">
        <f t="shared" si="2"/>
        <v>-</v>
      </c>
      <c r="L23" s="304" t="s">
        <v>963</v>
      </c>
      <c r="M23" s="305" t="str">
        <f t="shared" si="3"/>
        <v>-</v>
      </c>
      <c r="N23" s="304" t="s">
        <v>963</v>
      </c>
      <c r="O23" s="305" t="str">
        <f t="shared" si="4"/>
        <v>-</v>
      </c>
    </row>
    <row r="24" spans="1:15" ht="12.75">
      <c r="A24" s="187" t="s">
        <v>349</v>
      </c>
      <c r="B24" s="236">
        <v>2.9822</v>
      </c>
      <c r="C24" s="236">
        <v>3.7061</v>
      </c>
      <c r="D24" s="304">
        <f t="shared" si="0"/>
        <v>0.06169555741987529</v>
      </c>
      <c r="E24" s="305">
        <f t="shared" si="1"/>
        <v>0.015257709638927698</v>
      </c>
      <c r="F24" s="304" t="s">
        <v>963</v>
      </c>
      <c r="G24" s="305" t="str">
        <f t="shared" si="5"/>
        <v>-</v>
      </c>
      <c r="H24" s="304" t="s">
        <v>963</v>
      </c>
      <c r="I24" s="305" t="str">
        <f t="shared" si="5"/>
        <v>-</v>
      </c>
      <c r="J24" s="304" t="s">
        <v>963</v>
      </c>
      <c r="K24" s="305" t="str">
        <f t="shared" si="2"/>
        <v>-</v>
      </c>
      <c r="L24" s="304" t="s">
        <v>963</v>
      </c>
      <c r="M24" s="305" t="str">
        <f t="shared" si="3"/>
        <v>-</v>
      </c>
      <c r="N24" s="304" t="s">
        <v>963</v>
      </c>
      <c r="O24" s="305" t="str">
        <f t="shared" si="4"/>
        <v>-</v>
      </c>
    </row>
    <row r="25" spans="1:15" ht="12.75">
      <c r="A25" s="187" t="s">
        <v>508</v>
      </c>
      <c r="B25" s="236">
        <v>3.5434</v>
      </c>
      <c r="C25" s="236">
        <v>4.221</v>
      </c>
      <c r="D25" s="304">
        <f t="shared" si="0"/>
        <v>0.02088635187655511</v>
      </c>
      <c r="E25" s="305">
        <f t="shared" si="1"/>
        <v>0.00564814925155075</v>
      </c>
      <c r="F25" s="304" t="s">
        <v>963</v>
      </c>
      <c r="G25" s="305" t="str">
        <f t="shared" si="5"/>
        <v>-</v>
      </c>
      <c r="H25" s="304" t="s">
        <v>963</v>
      </c>
      <c r="I25" s="305" t="str">
        <f t="shared" si="5"/>
        <v>-</v>
      </c>
      <c r="J25" s="304" t="s">
        <v>963</v>
      </c>
      <c r="K25" s="305" t="str">
        <f t="shared" si="2"/>
        <v>-</v>
      </c>
      <c r="L25" s="304" t="s">
        <v>963</v>
      </c>
      <c r="M25" s="305" t="str">
        <f t="shared" si="3"/>
        <v>-</v>
      </c>
      <c r="N25" s="304" t="s">
        <v>963</v>
      </c>
      <c r="O25" s="305" t="str">
        <f t="shared" si="4"/>
        <v>-</v>
      </c>
    </row>
    <row r="26" spans="1:15" ht="12.75">
      <c r="A26" s="187" t="s">
        <v>509</v>
      </c>
      <c r="B26" s="236">
        <v>2.7346</v>
      </c>
      <c r="C26" s="236">
        <v>3.5295</v>
      </c>
      <c r="D26" s="304">
        <f t="shared" si="0"/>
        <v>0.09949226728338473</v>
      </c>
      <c r="E26" s="305">
        <f t="shared" si="1"/>
        <v>0.021454253528230428</v>
      </c>
      <c r="F26" s="304" t="s">
        <v>963</v>
      </c>
      <c r="G26" s="305" t="str">
        <f t="shared" si="5"/>
        <v>-</v>
      </c>
      <c r="H26" s="304" t="s">
        <v>963</v>
      </c>
      <c r="I26" s="305" t="str">
        <f t="shared" si="5"/>
        <v>-</v>
      </c>
      <c r="J26" s="304" t="s">
        <v>963</v>
      </c>
      <c r="K26" s="305" t="str">
        <f t="shared" si="2"/>
        <v>-</v>
      </c>
      <c r="L26" s="304" t="s">
        <v>963</v>
      </c>
      <c r="M26" s="305" t="str">
        <f t="shared" si="3"/>
        <v>-</v>
      </c>
      <c r="N26" s="304" t="s">
        <v>963</v>
      </c>
      <c r="O26" s="305" t="str">
        <f t="shared" si="4"/>
        <v>-</v>
      </c>
    </row>
    <row r="27" spans="1:15" ht="12.75">
      <c r="A27" s="187" t="s">
        <v>504</v>
      </c>
      <c r="B27" s="236">
        <v>2.9512</v>
      </c>
      <c r="C27" s="236">
        <v>3.6858</v>
      </c>
      <c r="D27" s="304">
        <f t="shared" si="0"/>
        <v>0.06549946177288911</v>
      </c>
      <c r="E27" s="305">
        <f t="shared" si="1"/>
        <v>0.01586735613322156</v>
      </c>
      <c r="F27" s="304" t="s">
        <v>963</v>
      </c>
      <c r="G27" s="305" t="str">
        <f t="shared" si="5"/>
        <v>-</v>
      </c>
      <c r="H27" s="304" t="s">
        <v>963</v>
      </c>
      <c r="I27" s="305" t="str">
        <f t="shared" si="5"/>
        <v>-</v>
      </c>
      <c r="J27" s="304" t="s">
        <v>963</v>
      </c>
      <c r="K27" s="305" t="str">
        <f t="shared" si="2"/>
        <v>-</v>
      </c>
      <c r="L27" s="304" t="s">
        <v>963</v>
      </c>
      <c r="M27" s="305" t="str">
        <f t="shared" si="3"/>
        <v>-</v>
      </c>
      <c r="N27" s="304" t="s">
        <v>963</v>
      </c>
      <c r="O27" s="305" t="str">
        <f t="shared" si="4"/>
        <v>-</v>
      </c>
    </row>
    <row r="28" spans="1:15" ht="12.75">
      <c r="A28" s="187" t="s">
        <v>510</v>
      </c>
      <c r="B28" s="236">
        <v>3.5124</v>
      </c>
      <c r="C28" s="236">
        <v>4.2008</v>
      </c>
      <c r="D28" s="304">
        <f t="shared" si="0"/>
        <v>0.02217412182538795</v>
      </c>
      <c r="E28" s="305">
        <f t="shared" si="1"/>
        <v>0.005872696660684421</v>
      </c>
      <c r="F28" s="304" t="s">
        <v>963</v>
      </c>
      <c r="G28" s="305" t="str">
        <f t="shared" si="5"/>
        <v>-</v>
      </c>
      <c r="H28" s="304" t="s">
        <v>963</v>
      </c>
      <c r="I28" s="305" t="str">
        <f t="shared" si="5"/>
        <v>-</v>
      </c>
      <c r="J28" s="304" t="s">
        <v>963</v>
      </c>
      <c r="K28" s="305" t="str">
        <f t="shared" si="2"/>
        <v>-</v>
      </c>
      <c r="L28" s="304" t="s">
        <v>963</v>
      </c>
      <c r="M28" s="305" t="str">
        <f t="shared" si="3"/>
        <v>-</v>
      </c>
      <c r="N28" s="304" t="s">
        <v>963</v>
      </c>
      <c r="O28" s="305" t="str">
        <f t="shared" si="4"/>
        <v>-</v>
      </c>
    </row>
    <row r="29" spans="1:15" ht="12.75">
      <c r="A29" s="187" t="s">
        <v>351</v>
      </c>
      <c r="B29" s="236">
        <v>3.4814</v>
      </c>
      <c r="C29" s="236">
        <v>4.1806</v>
      </c>
      <c r="D29" s="304">
        <f t="shared" si="0"/>
        <v>0.023541290582156132</v>
      </c>
      <c r="E29" s="305">
        <f t="shared" si="1"/>
        <v>0.006106171160215865</v>
      </c>
      <c r="F29" s="304" t="s">
        <v>963</v>
      </c>
      <c r="G29" s="305" t="str">
        <f t="shared" si="5"/>
        <v>-</v>
      </c>
      <c r="H29" s="304" t="s">
        <v>963</v>
      </c>
      <c r="I29" s="305" t="str">
        <f t="shared" si="5"/>
        <v>-</v>
      </c>
      <c r="J29" s="304" t="s">
        <v>963</v>
      </c>
      <c r="K29" s="305" t="str">
        <f t="shared" si="2"/>
        <v>-</v>
      </c>
      <c r="L29" s="304" t="s">
        <v>963</v>
      </c>
      <c r="M29" s="305" t="str">
        <f t="shared" si="3"/>
        <v>-</v>
      </c>
      <c r="N29" s="304" t="s">
        <v>963</v>
      </c>
      <c r="O29" s="305" t="str">
        <f t="shared" si="4"/>
        <v>-</v>
      </c>
    </row>
    <row r="30" spans="1:15" ht="12.75">
      <c r="A30" s="187" t="s">
        <v>512</v>
      </c>
      <c r="B30" s="236">
        <v>3.4194</v>
      </c>
      <c r="C30" s="236">
        <v>4.1401</v>
      </c>
      <c r="D30" s="304">
        <f t="shared" si="0"/>
        <v>0.02653370801894764</v>
      </c>
      <c r="E30" s="305">
        <f t="shared" si="1"/>
        <v>0.006602609339695131</v>
      </c>
      <c r="F30" s="304" t="s">
        <v>963</v>
      </c>
      <c r="G30" s="305" t="str">
        <f t="shared" si="5"/>
        <v>-</v>
      </c>
      <c r="H30" s="304" t="s">
        <v>963</v>
      </c>
      <c r="I30" s="305" t="str">
        <f t="shared" si="5"/>
        <v>-</v>
      </c>
      <c r="J30" s="304" t="s">
        <v>963</v>
      </c>
      <c r="K30" s="305" t="str">
        <f t="shared" si="2"/>
        <v>-</v>
      </c>
      <c r="L30" s="304" t="s">
        <v>963</v>
      </c>
      <c r="M30" s="305" t="str">
        <f t="shared" si="3"/>
        <v>-</v>
      </c>
      <c r="N30" s="304" t="s">
        <v>963</v>
      </c>
      <c r="O30" s="305" t="str">
        <f t="shared" si="4"/>
        <v>-</v>
      </c>
    </row>
    <row r="31" spans="1:15" ht="12.75">
      <c r="A31" s="187" t="s">
        <v>511</v>
      </c>
      <c r="B31" s="236">
        <v>3.3574</v>
      </c>
      <c r="C31" s="236">
        <v>4.0996</v>
      </c>
      <c r="D31" s="304">
        <f t="shared" si="0"/>
        <v>0.029906502312511875</v>
      </c>
      <c r="E31" s="305">
        <f t="shared" si="1"/>
        <v>0.007139408468708614</v>
      </c>
      <c r="F31" s="304" t="s">
        <v>963</v>
      </c>
      <c r="G31" s="305" t="str">
        <f t="shared" si="5"/>
        <v>-</v>
      </c>
      <c r="H31" s="304" t="s">
        <v>963</v>
      </c>
      <c r="I31" s="305" t="str">
        <f t="shared" si="5"/>
        <v>-</v>
      </c>
      <c r="J31" s="304" t="s">
        <v>963</v>
      </c>
      <c r="K31" s="305" t="str">
        <f t="shared" si="2"/>
        <v>-</v>
      </c>
      <c r="L31" s="304" t="s">
        <v>963</v>
      </c>
      <c r="M31" s="305" t="str">
        <f t="shared" si="3"/>
        <v>-</v>
      </c>
      <c r="N31" s="304" t="s">
        <v>963</v>
      </c>
      <c r="O31" s="305" t="str">
        <f t="shared" si="4"/>
        <v>-</v>
      </c>
    </row>
    <row r="32" spans="1:15" ht="12.75">
      <c r="A32" s="187" t="s">
        <v>515</v>
      </c>
      <c r="B32" s="236">
        <v>3.2954</v>
      </c>
      <c r="C32" s="236">
        <v>4.0592</v>
      </c>
      <c r="D32" s="304">
        <f t="shared" si="0"/>
        <v>0.03370802452222627</v>
      </c>
      <c r="E32" s="305">
        <f t="shared" si="1"/>
        <v>0.007718360147912197</v>
      </c>
      <c r="F32" s="304" t="s">
        <v>963</v>
      </c>
      <c r="G32" s="305" t="str">
        <f t="shared" si="5"/>
        <v>-</v>
      </c>
      <c r="H32" s="304" t="s">
        <v>963</v>
      </c>
      <c r="I32" s="305" t="str">
        <f t="shared" si="5"/>
        <v>-</v>
      </c>
      <c r="J32" s="304" t="s">
        <v>963</v>
      </c>
      <c r="K32" s="305" t="str">
        <f t="shared" si="2"/>
        <v>-</v>
      </c>
      <c r="L32" s="304" t="s">
        <v>963</v>
      </c>
      <c r="M32" s="305" t="str">
        <f t="shared" si="3"/>
        <v>-</v>
      </c>
      <c r="N32" s="304" t="s">
        <v>963</v>
      </c>
      <c r="O32" s="305" t="str">
        <f t="shared" si="4"/>
        <v>-</v>
      </c>
    </row>
    <row r="33" spans="1:15" ht="12.75">
      <c r="A33" s="187" t="s">
        <v>513</v>
      </c>
      <c r="B33" s="236">
        <v>3.2334</v>
      </c>
      <c r="C33" s="236">
        <v>4.0187</v>
      </c>
      <c r="D33" s="304">
        <f t="shared" si="0"/>
        <v>0.03799277178313313</v>
      </c>
      <c r="E33" s="305">
        <f t="shared" si="1"/>
        <v>0.008345870998796925</v>
      </c>
      <c r="F33" s="304" t="s">
        <v>963</v>
      </c>
      <c r="G33" s="305" t="str">
        <f t="shared" si="5"/>
        <v>-</v>
      </c>
      <c r="H33" s="304" t="s">
        <v>963</v>
      </c>
      <c r="I33" s="305" t="str">
        <f t="shared" si="5"/>
        <v>-</v>
      </c>
      <c r="J33" s="304" t="s">
        <v>963</v>
      </c>
      <c r="K33" s="305" t="str">
        <f t="shared" si="2"/>
        <v>-</v>
      </c>
      <c r="L33" s="304" t="s">
        <v>963</v>
      </c>
      <c r="M33" s="305" t="str">
        <f t="shared" si="3"/>
        <v>-</v>
      </c>
      <c r="N33" s="304" t="s">
        <v>963</v>
      </c>
      <c r="O33" s="305" t="str">
        <f t="shared" si="4"/>
        <v>-</v>
      </c>
    </row>
    <row r="34" spans="1:15" ht="12.75">
      <c r="A34" s="187" t="s">
        <v>514</v>
      </c>
      <c r="B34" s="236">
        <v>3.1714</v>
      </c>
      <c r="C34" s="236">
        <v>3.9782</v>
      </c>
      <c r="D34" s="304">
        <f t="shared" si="0"/>
        <v>0.04282216855554556</v>
      </c>
      <c r="E34" s="305">
        <f t="shared" si="1"/>
        <v>0.009024399146158109</v>
      </c>
      <c r="F34" s="304" t="s">
        <v>963</v>
      </c>
      <c r="G34" s="305" t="str">
        <f t="shared" si="5"/>
        <v>-</v>
      </c>
      <c r="H34" s="304" t="s">
        <v>963</v>
      </c>
      <c r="I34" s="305" t="str">
        <f t="shared" si="5"/>
        <v>-</v>
      </c>
      <c r="J34" s="304" t="s">
        <v>963</v>
      </c>
      <c r="K34" s="305" t="str">
        <f t="shared" si="2"/>
        <v>-</v>
      </c>
      <c r="L34" s="304" t="s">
        <v>963</v>
      </c>
      <c r="M34" s="305" t="str">
        <f t="shared" si="3"/>
        <v>-</v>
      </c>
      <c r="N34" s="304" t="s">
        <v>963</v>
      </c>
      <c r="O34" s="305" t="str">
        <f t="shared" si="4"/>
        <v>-</v>
      </c>
    </row>
    <row r="35" spans="1:15" ht="13.5" thickBot="1">
      <c r="A35" s="306"/>
      <c r="B35" s="237"/>
      <c r="C35" s="237"/>
      <c r="D35" s="307"/>
      <c r="E35" s="308"/>
      <c r="F35" s="307"/>
      <c r="G35" s="308"/>
      <c r="H35" s="308"/>
      <c r="I35" s="308"/>
      <c r="J35" s="307"/>
      <c r="K35" s="308"/>
      <c r="L35" s="308"/>
      <c r="M35" s="308"/>
      <c r="N35" s="308"/>
      <c r="O35" s="308"/>
    </row>
    <row r="36" spans="1:15" ht="12.75">
      <c r="A36" s="154" t="s">
        <v>343</v>
      </c>
      <c r="B36" s="236"/>
      <c r="C36" s="236"/>
      <c r="D36" s="304"/>
      <c r="E36" s="305"/>
      <c r="F36" s="304"/>
      <c r="G36" s="305"/>
      <c r="H36" s="305"/>
      <c r="I36" s="305"/>
      <c r="J36" s="304"/>
      <c r="K36" s="305"/>
      <c r="L36" s="305"/>
      <c r="M36" s="305"/>
      <c r="N36" s="305"/>
      <c r="O36" s="305"/>
    </row>
    <row r="37" spans="1:15" ht="12.75">
      <c r="A37" s="187" t="s">
        <v>500</v>
      </c>
      <c r="B37" s="236">
        <v>3.3735</v>
      </c>
      <c r="C37" s="236">
        <v>4.0359</v>
      </c>
      <c r="D37" s="304">
        <f aca="true" t="shared" si="6" ref="D37:D43">EXP(8.87-1.93*$B37)/365</f>
        <v>0.028991507010860427</v>
      </c>
      <c r="E37" s="305">
        <f aca="true" t="shared" si="7" ref="E37:E43">EXP(8.87-1.93*$C37)/365</f>
        <v>0.008073369469192484</v>
      </c>
      <c r="F37" s="304" t="s">
        <v>963</v>
      </c>
      <c r="G37" s="305" t="str">
        <f aca="true" t="shared" si="8" ref="G37:G43">IF(ISNUMBER(F37),F37/365,"-")</f>
        <v>-</v>
      </c>
      <c r="H37" s="304" t="s">
        <v>963</v>
      </c>
      <c r="I37" s="305" t="str">
        <f aca="true" t="shared" si="9" ref="I37:I43">IF(ISNUMBER(H37),H37/365,"-")</f>
        <v>-</v>
      </c>
      <c r="J37" s="304" t="s">
        <v>963</v>
      </c>
      <c r="K37" s="305" t="str">
        <f aca="true" t="shared" si="10" ref="K37:K43">IF(ISNUMBER(J37),J37/365,"-")</f>
        <v>-</v>
      </c>
      <c r="L37" s="304" t="s">
        <v>963</v>
      </c>
      <c r="M37" s="305" t="str">
        <f aca="true" t="shared" si="11" ref="M37:M43">IF(ISNUMBER(L37),L37/365,"-")</f>
        <v>-</v>
      </c>
      <c r="N37" s="304" t="s">
        <v>963</v>
      </c>
      <c r="O37" s="305" t="str">
        <f aca="true" t="shared" si="12" ref="O37:O43">IF(ISNUMBER(N37),N37/365,"-")</f>
        <v>-</v>
      </c>
    </row>
    <row r="38" spans="1:15" ht="12.75">
      <c r="A38" s="187" t="s">
        <v>340</v>
      </c>
      <c r="B38" s="236">
        <v>3.3425</v>
      </c>
      <c r="C38" s="236">
        <v>4.0156</v>
      </c>
      <c r="D38" s="304">
        <f t="shared" si="6"/>
        <v>0.030779008807278494</v>
      </c>
      <c r="E38" s="305">
        <f t="shared" si="7"/>
        <v>0.008395954018938714</v>
      </c>
      <c r="F38" s="304" t="s">
        <v>963</v>
      </c>
      <c r="G38" s="305" t="str">
        <f t="shared" si="8"/>
        <v>-</v>
      </c>
      <c r="H38" s="304" t="s">
        <v>963</v>
      </c>
      <c r="I38" s="305" t="str">
        <f t="shared" si="9"/>
        <v>-</v>
      </c>
      <c r="J38" s="304" t="s">
        <v>963</v>
      </c>
      <c r="K38" s="305" t="str">
        <f t="shared" si="10"/>
        <v>-</v>
      </c>
      <c r="L38" s="304" t="s">
        <v>963</v>
      </c>
      <c r="M38" s="305" t="str">
        <f t="shared" si="11"/>
        <v>-</v>
      </c>
      <c r="N38" s="304" t="s">
        <v>963</v>
      </c>
      <c r="O38" s="305" t="str">
        <f t="shared" si="12"/>
        <v>-</v>
      </c>
    </row>
    <row r="39" spans="1:15" ht="12.75">
      <c r="A39" s="187" t="s">
        <v>338</v>
      </c>
      <c r="B39" s="236">
        <v>3.3115</v>
      </c>
      <c r="C39" s="236">
        <v>3.9954</v>
      </c>
      <c r="D39" s="304">
        <f t="shared" si="6"/>
        <v>0.03267672090325087</v>
      </c>
      <c r="E39" s="305">
        <f t="shared" si="7"/>
        <v>0.008729742953719524</v>
      </c>
      <c r="F39" s="304" t="s">
        <v>963</v>
      </c>
      <c r="G39" s="305" t="str">
        <f t="shared" si="8"/>
        <v>-</v>
      </c>
      <c r="H39" s="304" t="s">
        <v>963</v>
      </c>
      <c r="I39" s="305" t="str">
        <f t="shared" si="9"/>
        <v>-</v>
      </c>
      <c r="J39" s="304" t="s">
        <v>963</v>
      </c>
      <c r="K39" s="305" t="str">
        <f t="shared" si="10"/>
        <v>-</v>
      </c>
      <c r="L39" s="304" t="s">
        <v>963</v>
      </c>
      <c r="M39" s="305" t="str">
        <f t="shared" si="11"/>
        <v>-</v>
      </c>
      <c r="N39" s="304" t="s">
        <v>963</v>
      </c>
      <c r="O39" s="305" t="str">
        <f t="shared" si="12"/>
        <v>-</v>
      </c>
    </row>
    <row r="40" spans="1:15" ht="12.75">
      <c r="A40" s="187" t="s">
        <v>341</v>
      </c>
      <c r="B40" s="236">
        <v>3.2805</v>
      </c>
      <c r="C40" s="236">
        <v>3.9751</v>
      </c>
      <c r="D40" s="304">
        <f t="shared" si="6"/>
        <v>0.034691438430481586</v>
      </c>
      <c r="E40" s="305">
        <f t="shared" si="7"/>
        <v>0.009078553968856635</v>
      </c>
      <c r="F40" s="304" t="s">
        <v>963</v>
      </c>
      <c r="G40" s="305" t="str">
        <f t="shared" si="8"/>
        <v>-</v>
      </c>
      <c r="H40" s="304" t="s">
        <v>963</v>
      </c>
      <c r="I40" s="305" t="str">
        <f t="shared" si="9"/>
        <v>-</v>
      </c>
      <c r="J40" s="304" t="s">
        <v>963</v>
      </c>
      <c r="K40" s="305" t="str">
        <f t="shared" si="10"/>
        <v>-</v>
      </c>
      <c r="L40" s="304" t="s">
        <v>963</v>
      </c>
      <c r="M40" s="305" t="str">
        <f t="shared" si="11"/>
        <v>-</v>
      </c>
      <c r="N40" s="304" t="s">
        <v>963</v>
      </c>
      <c r="O40" s="305" t="str">
        <f t="shared" si="12"/>
        <v>-</v>
      </c>
    </row>
    <row r="41" spans="1:15" ht="12.75">
      <c r="A41" s="187" t="s">
        <v>501</v>
      </c>
      <c r="B41" s="236">
        <v>3.2495</v>
      </c>
      <c r="C41" s="236">
        <v>3.9549</v>
      </c>
      <c r="D41" s="304">
        <f t="shared" si="6"/>
        <v>0.0368303754816526</v>
      </c>
      <c r="E41" s="305">
        <f t="shared" si="7"/>
        <v>0.009439480297392892</v>
      </c>
      <c r="F41" s="304" t="s">
        <v>963</v>
      </c>
      <c r="G41" s="305" t="str">
        <f t="shared" si="8"/>
        <v>-</v>
      </c>
      <c r="H41" s="304" t="s">
        <v>963</v>
      </c>
      <c r="I41" s="305" t="str">
        <f t="shared" si="9"/>
        <v>-</v>
      </c>
      <c r="J41" s="304" t="s">
        <v>963</v>
      </c>
      <c r="K41" s="305" t="str">
        <f t="shared" si="10"/>
        <v>-</v>
      </c>
      <c r="L41" s="304" t="s">
        <v>963</v>
      </c>
      <c r="M41" s="305" t="str">
        <f t="shared" si="11"/>
        <v>-</v>
      </c>
      <c r="N41" s="304" t="s">
        <v>963</v>
      </c>
      <c r="O41" s="305" t="str">
        <f t="shared" si="12"/>
        <v>-</v>
      </c>
    </row>
    <row r="42" spans="1:15" ht="12.75">
      <c r="A42" s="187" t="s">
        <v>502</v>
      </c>
      <c r="B42" s="236">
        <v>3.5169</v>
      </c>
      <c r="C42" s="236">
        <v>4.2037</v>
      </c>
      <c r="D42" s="304">
        <f t="shared" si="6"/>
        <v>0.02198237344993926</v>
      </c>
      <c r="E42" s="305">
        <f t="shared" si="7"/>
        <v>0.005839918991349384</v>
      </c>
      <c r="F42" s="304" t="s">
        <v>963</v>
      </c>
      <c r="G42" s="305" t="str">
        <f t="shared" si="8"/>
        <v>-</v>
      </c>
      <c r="H42" s="304" t="s">
        <v>963</v>
      </c>
      <c r="I42" s="305" t="str">
        <f t="shared" si="9"/>
        <v>-</v>
      </c>
      <c r="J42" s="304" t="s">
        <v>963</v>
      </c>
      <c r="K42" s="305" t="str">
        <f t="shared" si="10"/>
        <v>-</v>
      </c>
      <c r="L42" s="304" t="s">
        <v>963</v>
      </c>
      <c r="M42" s="305" t="str">
        <f t="shared" si="11"/>
        <v>-</v>
      </c>
      <c r="N42" s="304" t="s">
        <v>963</v>
      </c>
      <c r="O42" s="305" t="str">
        <f t="shared" si="12"/>
        <v>-</v>
      </c>
    </row>
    <row r="43" spans="1:15" ht="12.75">
      <c r="A43" s="187" t="s">
        <v>503</v>
      </c>
      <c r="B43" s="236">
        <v>3.1875</v>
      </c>
      <c r="C43" s="236">
        <v>3.9144</v>
      </c>
      <c r="D43" s="304">
        <f t="shared" si="6"/>
        <v>0.04151201591297264</v>
      </c>
      <c r="E43" s="305">
        <f t="shared" si="7"/>
        <v>0.01020692003845355</v>
      </c>
      <c r="F43" s="304" t="s">
        <v>963</v>
      </c>
      <c r="G43" s="305" t="str">
        <f t="shared" si="8"/>
        <v>-</v>
      </c>
      <c r="H43" s="304" t="s">
        <v>963</v>
      </c>
      <c r="I43" s="305" t="str">
        <f t="shared" si="9"/>
        <v>-</v>
      </c>
      <c r="J43" s="304" t="s">
        <v>963</v>
      </c>
      <c r="K43" s="305" t="str">
        <f t="shared" si="10"/>
        <v>-</v>
      </c>
      <c r="L43" s="304" t="s">
        <v>963</v>
      </c>
      <c r="M43" s="305" t="str">
        <f t="shared" si="11"/>
        <v>-</v>
      </c>
      <c r="N43" s="304" t="s">
        <v>963</v>
      </c>
      <c r="O43" s="305" t="str">
        <f t="shared" si="12"/>
        <v>-</v>
      </c>
    </row>
    <row r="44" spans="1:15" ht="13.5" thickBot="1">
      <c r="A44" s="155"/>
      <c r="B44" s="237"/>
      <c r="C44" s="237"/>
      <c r="D44" s="307"/>
      <c r="E44" s="308"/>
      <c r="F44" s="307"/>
      <c r="G44" s="308"/>
      <c r="H44" s="308"/>
      <c r="I44" s="308"/>
      <c r="J44" s="307"/>
      <c r="K44" s="308"/>
      <c r="L44" s="308"/>
      <c r="M44" s="308"/>
      <c r="N44" s="308"/>
      <c r="O44" s="308"/>
    </row>
    <row r="45" spans="1:15" ht="12.75">
      <c r="A45" s="154" t="s">
        <v>582</v>
      </c>
      <c r="B45" s="236"/>
      <c r="C45" s="236"/>
      <c r="D45" s="304"/>
      <c r="E45" s="305"/>
      <c r="F45" s="304"/>
      <c r="G45" s="305"/>
      <c r="H45" s="305"/>
      <c r="I45" s="305"/>
      <c r="J45" s="304"/>
      <c r="K45" s="305"/>
      <c r="L45" s="305"/>
      <c r="M45" s="305"/>
      <c r="N45" s="305"/>
      <c r="O45" s="305"/>
    </row>
    <row r="46" spans="1:15" ht="12.75">
      <c r="A46" s="121" t="s">
        <v>112</v>
      </c>
      <c r="B46" s="236">
        <v>2.4406</v>
      </c>
      <c r="C46" s="236">
        <v>3.3922</v>
      </c>
      <c r="D46" s="304">
        <f aca="true" t="shared" si="13" ref="D46:D55">EXP(8.87-1.93*$B46)/365</f>
        <v>0.17547558657585544</v>
      </c>
      <c r="E46" s="305">
        <f aca="true" t="shared" si="14" ref="E46:E55">EXP(8.87-1.93*$C46)/365</f>
        <v>0.027963831007065024</v>
      </c>
      <c r="F46" s="304">
        <v>190</v>
      </c>
      <c r="G46" s="305">
        <f aca="true" t="shared" si="15" ref="G46:G55">IF(ISNUMBER(F46),F46/365,"-")</f>
        <v>0.5205479452054794</v>
      </c>
      <c r="H46" s="305">
        <v>190</v>
      </c>
      <c r="I46" s="305">
        <f aca="true" t="shared" si="16" ref="I46:I55">IF(ISNUMBER(H46),H46/365,"-")</f>
        <v>0.5205479452054794</v>
      </c>
      <c r="J46" s="304">
        <v>243</v>
      </c>
      <c r="K46" s="305">
        <f aca="true" t="shared" si="17" ref="K46:K55">IF(ISNUMBER(J46),J46/365,"-")</f>
        <v>0.6657534246575343</v>
      </c>
      <c r="L46" s="305">
        <v>243</v>
      </c>
      <c r="M46" s="305">
        <f aca="true" t="shared" si="18" ref="M46:M55">IF(ISNUMBER(L46),L46/365,"-")</f>
        <v>0.6657534246575343</v>
      </c>
      <c r="N46" s="305">
        <v>223</v>
      </c>
      <c r="O46" s="305">
        <f aca="true" t="shared" si="19" ref="O46:O55">IF(ISNUMBER(N46),N46/365,"-")</f>
        <v>0.6109589041095891</v>
      </c>
    </row>
    <row r="47" spans="1:15" ht="12.75">
      <c r="A47" s="121" t="s">
        <v>114</v>
      </c>
      <c r="B47" s="236">
        <v>2.9427</v>
      </c>
      <c r="C47" s="236">
        <v>3.6512</v>
      </c>
      <c r="D47" s="304">
        <f t="shared" si="13"/>
        <v>0.06658284257744816</v>
      </c>
      <c r="E47" s="305">
        <f t="shared" si="14"/>
        <v>0.016963125931846672</v>
      </c>
      <c r="F47" s="304">
        <v>28.4</v>
      </c>
      <c r="G47" s="305">
        <f t="shared" si="15"/>
        <v>0.07780821917808219</v>
      </c>
      <c r="H47" s="305">
        <v>28.4</v>
      </c>
      <c r="I47" s="305">
        <f t="shared" si="16"/>
        <v>0.07780821917808219</v>
      </c>
      <c r="J47" s="304">
        <v>109</v>
      </c>
      <c r="K47" s="305">
        <f t="shared" si="17"/>
        <v>0.29863013698630136</v>
      </c>
      <c r="L47" s="305">
        <v>17.5</v>
      </c>
      <c r="M47" s="305">
        <f t="shared" si="18"/>
        <v>0.04794520547945205</v>
      </c>
      <c r="N47" s="305">
        <v>107</v>
      </c>
      <c r="O47" s="305">
        <f t="shared" si="19"/>
        <v>0.29315068493150687</v>
      </c>
    </row>
    <row r="48" spans="1:15" ht="12.75">
      <c r="A48" s="121" t="s">
        <v>113</v>
      </c>
      <c r="B48" s="236">
        <v>2.9117</v>
      </c>
      <c r="C48" s="236">
        <v>3.6309</v>
      </c>
      <c r="D48" s="304">
        <f t="shared" si="13"/>
        <v>0.07068807762691369</v>
      </c>
      <c r="E48" s="305">
        <f t="shared" si="14"/>
        <v>0.01764091509557744</v>
      </c>
      <c r="F48" s="304">
        <v>6.5</v>
      </c>
      <c r="G48" s="305">
        <f t="shared" si="15"/>
        <v>0.01780821917808219</v>
      </c>
      <c r="H48" s="305">
        <v>6.5</v>
      </c>
      <c r="I48" s="305">
        <f t="shared" si="16"/>
        <v>0.01780821917808219</v>
      </c>
      <c r="J48" s="304">
        <v>117</v>
      </c>
      <c r="K48" s="305">
        <f t="shared" si="17"/>
        <v>0.32054794520547947</v>
      </c>
      <c r="L48" s="305">
        <v>117</v>
      </c>
      <c r="M48" s="305">
        <f t="shared" si="18"/>
        <v>0.32054794520547947</v>
      </c>
      <c r="N48" s="305">
        <v>116</v>
      </c>
      <c r="O48" s="305">
        <f t="shared" si="19"/>
        <v>0.3178082191780822</v>
      </c>
    </row>
    <row r="49" spans="1:15" ht="12.75">
      <c r="A49" s="121" t="s">
        <v>372</v>
      </c>
      <c r="B49" s="236">
        <v>2.8149</v>
      </c>
      <c r="C49" s="236">
        <v>3.5575</v>
      </c>
      <c r="D49" s="304">
        <f t="shared" si="13"/>
        <v>0.0852084771029778</v>
      </c>
      <c r="E49" s="305">
        <f t="shared" si="14"/>
        <v>0.020325635571991397</v>
      </c>
      <c r="F49" s="304">
        <v>15.1</v>
      </c>
      <c r="G49" s="305">
        <f t="shared" si="15"/>
        <v>0.04136986301369863</v>
      </c>
      <c r="H49" s="305">
        <v>15.1</v>
      </c>
      <c r="I49" s="305">
        <f t="shared" si="16"/>
        <v>0.04136986301369863</v>
      </c>
      <c r="J49" s="304">
        <v>187</v>
      </c>
      <c r="K49" s="305">
        <f t="shared" si="17"/>
        <v>0.5123287671232877</v>
      </c>
      <c r="L49" s="305">
        <v>187</v>
      </c>
      <c r="M49" s="305">
        <f t="shared" si="18"/>
        <v>0.5123287671232877</v>
      </c>
      <c r="N49" s="305">
        <v>184</v>
      </c>
      <c r="O49" s="305">
        <f t="shared" si="19"/>
        <v>0.5041095890410959</v>
      </c>
    </row>
    <row r="50" spans="1:15" ht="12.75">
      <c r="A50" s="121" t="s">
        <v>969</v>
      </c>
      <c r="B50" s="236">
        <v>2.709</v>
      </c>
      <c r="C50" s="236">
        <v>3.4687</v>
      </c>
      <c r="D50" s="304">
        <f t="shared" si="13"/>
        <v>0.10453144397223957</v>
      </c>
      <c r="E50" s="305">
        <f t="shared" si="14"/>
        <v>0.024125440964992115</v>
      </c>
      <c r="F50" s="304">
        <v>17.5</v>
      </c>
      <c r="G50" s="305">
        <f t="shared" si="15"/>
        <v>0.04794520547945205</v>
      </c>
      <c r="H50" s="305">
        <v>17.5</v>
      </c>
      <c r="I50" s="305">
        <f t="shared" si="16"/>
        <v>0.04794520547945205</v>
      </c>
      <c r="J50" s="304">
        <v>17.5</v>
      </c>
      <c r="K50" s="305">
        <f t="shared" si="17"/>
        <v>0.04794520547945205</v>
      </c>
      <c r="L50" s="305">
        <v>35</v>
      </c>
      <c r="M50" s="305">
        <f t="shared" si="18"/>
        <v>0.0958904109589041</v>
      </c>
      <c r="N50" s="305">
        <v>17.5</v>
      </c>
      <c r="O50" s="305">
        <f t="shared" si="19"/>
        <v>0.04794520547945205</v>
      </c>
    </row>
    <row r="51" spans="1:15" ht="12.75">
      <c r="A51" s="121" t="s">
        <v>577</v>
      </c>
      <c r="B51" s="236">
        <v>2.7839</v>
      </c>
      <c r="C51" s="236">
        <v>3.5373</v>
      </c>
      <c r="D51" s="304">
        <f t="shared" si="13"/>
        <v>0.09046209519998002</v>
      </c>
      <c r="E51" s="305">
        <f t="shared" si="14"/>
        <v>0.02113370005531445</v>
      </c>
      <c r="F51" s="304" t="s">
        <v>963</v>
      </c>
      <c r="G51" s="305" t="str">
        <f t="shared" si="15"/>
        <v>-</v>
      </c>
      <c r="H51" s="304" t="s">
        <v>963</v>
      </c>
      <c r="I51" s="305" t="str">
        <f t="shared" si="16"/>
        <v>-</v>
      </c>
      <c r="J51" s="304" t="s">
        <v>963</v>
      </c>
      <c r="K51" s="305" t="str">
        <f t="shared" si="17"/>
        <v>-</v>
      </c>
      <c r="L51" s="304" t="s">
        <v>963</v>
      </c>
      <c r="M51" s="305" t="str">
        <f t="shared" si="18"/>
        <v>-</v>
      </c>
      <c r="N51" s="304" t="s">
        <v>963</v>
      </c>
      <c r="O51" s="305" t="str">
        <f t="shared" si="19"/>
        <v>-</v>
      </c>
    </row>
    <row r="52" spans="1:15" ht="12.75">
      <c r="A52" s="121" t="s">
        <v>576</v>
      </c>
      <c r="B52" s="236">
        <v>2.8807</v>
      </c>
      <c r="C52" s="236">
        <v>3.6107</v>
      </c>
      <c r="D52" s="304">
        <f t="shared" si="13"/>
        <v>0.07504642525251709</v>
      </c>
      <c r="E52" s="305">
        <f t="shared" si="14"/>
        <v>0.018342246027717994</v>
      </c>
      <c r="F52" s="304" t="s">
        <v>963</v>
      </c>
      <c r="G52" s="305" t="str">
        <f t="shared" si="15"/>
        <v>-</v>
      </c>
      <c r="H52" s="304" t="s">
        <v>963</v>
      </c>
      <c r="I52" s="305" t="str">
        <f t="shared" si="16"/>
        <v>-</v>
      </c>
      <c r="J52" s="304" t="s">
        <v>963</v>
      </c>
      <c r="K52" s="305" t="str">
        <f t="shared" si="17"/>
        <v>-</v>
      </c>
      <c r="L52" s="304" t="s">
        <v>963</v>
      </c>
      <c r="M52" s="305" t="str">
        <f t="shared" si="18"/>
        <v>-</v>
      </c>
      <c r="N52" s="304" t="s">
        <v>963</v>
      </c>
      <c r="O52" s="305" t="str">
        <f t="shared" si="19"/>
        <v>-</v>
      </c>
    </row>
    <row r="53" spans="1:15" ht="12.75">
      <c r="A53" s="121" t="s">
        <v>398</v>
      </c>
      <c r="B53" s="236">
        <v>2.991</v>
      </c>
      <c r="C53" s="236">
        <v>3.7024</v>
      </c>
      <c r="D53" s="304">
        <f t="shared" si="13"/>
        <v>0.06065656814470715</v>
      </c>
      <c r="E53" s="305">
        <f t="shared" si="14"/>
        <v>0.015367054896038602</v>
      </c>
      <c r="F53" s="304">
        <v>45</v>
      </c>
      <c r="G53" s="305">
        <f t="shared" si="15"/>
        <v>0.1232876712328767</v>
      </c>
      <c r="H53" s="305">
        <v>45</v>
      </c>
      <c r="I53" s="305">
        <f t="shared" si="16"/>
        <v>0.1232876712328767</v>
      </c>
      <c r="J53" s="304">
        <v>119</v>
      </c>
      <c r="K53" s="305">
        <f t="shared" si="17"/>
        <v>0.32602739726027397</v>
      </c>
      <c r="L53" s="305">
        <v>119</v>
      </c>
      <c r="M53" s="305">
        <f t="shared" si="18"/>
        <v>0.32602739726027397</v>
      </c>
      <c r="N53" s="305">
        <v>63</v>
      </c>
      <c r="O53" s="305">
        <f t="shared" si="19"/>
        <v>0.1726027397260274</v>
      </c>
    </row>
    <row r="54" spans="1:15" ht="12.75">
      <c r="A54" s="121" t="s">
        <v>399</v>
      </c>
      <c r="B54" s="236">
        <v>2.8807</v>
      </c>
      <c r="C54" s="236">
        <v>3.6107</v>
      </c>
      <c r="D54" s="304">
        <f t="shared" si="13"/>
        <v>0.07504642525251709</v>
      </c>
      <c r="E54" s="305">
        <f t="shared" si="14"/>
        <v>0.018342246027717994</v>
      </c>
      <c r="F54" s="304">
        <v>7.92</v>
      </c>
      <c r="G54" s="305">
        <f t="shared" si="15"/>
        <v>0.0216986301369863</v>
      </c>
      <c r="H54" s="305">
        <v>5</v>
      </c>
      <c r="I54" s="305">
        <f t="shared" si="16"/>
        <v>0.0136986301369863</v>
      </c>
      <c r="J54" s="304">
        <v>5</v>
      </c>
      <c r="K54" s="305">
        <f t="shared" si="17"/>
        <v>0.0136986301369863</v>
      </c>
      <c r="L54" s="305">
        <v>10</v>
      </c>
      <c r="M54" s="305">
        <f t="shared" si="18"/>
        <v>0.0273972602739726</v>
      </c>
      <c r="N54" s="305">
        <v>12.5</v>
      </c>
      <c r="O54" s="305">
        <f t="shared" si="19"/>
        <v>0.03424657534246575</v>
      </c>
    </row>
    <row r="55" spans="1:15" ht="12.75">
      <c r="A55" s="121" t="s">
        <v>371</v>
      </c>
      <c r="B55" s="236">
        <v>2.7883</v>
      </c>
      <c r="C55" s="236">
        <v>3.5402</v>
      </c>
      <c r="D55" s="304">
        <f t="shared" si="13"/>
        <v>0.08969714366871828</v>
      </c>
      <c r="E55" s="305">
        <f t="shared" si="14"/>
        <v>0.021015745140858126</v>
      </c>
      <c r="F55" s="304" t="s">
        <v>963</v>
      </c>
      <c r="G55" s="305" t="str">
        <f t="shared" si="15"/>
        <v>-</v>
      </c>
      <c r="H55" s="304" t="s">
        <v>963</v>
      </c>
      <c r="I55" s="305" t="str">
        <f t="shared" si="16"/>
        <v>-</v>
      </c>
      <c r="J55" s="304" t="s">
        <v>963</v>
      </c>
      <c r="K55" s="305" t="str">
        <f t="shared" si="17"/>
        <v>-</v>
      </c>
      <c r="L55" s="304" t="s">
        <v>963</v>
      </c>
      <c r="M55" s="305" t="str">
        <f t="shared" si="18"/>
        <v>-</v>
      </c>
      <c r="N55" s="304" t="s">
        <v>963</v>
      </c>
      <c r="O55" s="305" t="str">
        <f t="shared" si="19"/>
        <v>-</v>
      </c>
    </row>
    <row r="56" spans="1:15" ht="13.5" thickBot="1">
      <c r="A56" s="124"/>
      <c r="B56" s="237"/>
      <c r="C56" s="237"/>
      <c r="D56" s="307"/>
      <c r="E56" s="308"/>
      <c r="F56" s="307"/>
      <c r="G56" s="308"/>
      <c r="H56" s="308"/>
      <c r="I56" s="308"/>
      <c r="J56" s="307"/>
      <c r="K56" s="308"/>
      <c r="L56" s="308"/>
      <c r="M56" s="308"/>
      <c r="N56" s="308"/>
      <c r="O56" s="308"/>
    </row>
    <row r="57" spans="1:15" ht="12.75">
      <c r="A57" s="154" t="s">
        <v>115</v>
      </c>
      <c r="B57" s="236"/>
      <c r="C57" s="236"/>
      <c r="D57" s="304"/>
      <c r="E57" s="305"/>
      <c r="F57" s="304"/>
      <c r="G57" s="305"/>
      <c r="H57" s="305"/>
      <c r="I57" s="305"/>
      <c r="J57" s="304"/>
      <c r="K57" s="305"/>
      <c r="L57" s="305"/>
      <c r="M57" s="305"/>
      <c r="N57" s="305"/>
      <c r="O57" s="305"/>
    </row>
    <row r="58" spans="1:15" ht="12.75">
      <c r="A58" s="121" t="s">
        <v>115</v>
      </c>
      <c r="B58" s="236">
        <v>2.7836</v>
      </c>
      <c r="C58" s="236">
        <v>3.5574</v>
      </c>
      <c r="D58" s="304">
        <f>EXP(8.87-1.93*$B58)/365</f>
        <v>0.09051448791932938</v>
      </c>
      <c r="E58" s="305">
        <f>EXP(8.87-1.93*$C58)/365</f>
        <v>0.02032955879823595</v>
      </c>
      <c r="F58" s="304">
        <v>22.9</v>
      </c>
      <c r="G58" s="305">
        <f aca="true" t="shared" si="20" ref="G58:O58">IF(ISNUMBER(F58),F58/365,"-")</f>
        <v>0.06273972602739726</v>
      </c>
      <c r="H58" s="305">
        <v>104</v>
      </c>
      <c r="I58" s="305">
        <f t="shared" si="20"/>
        <v>0.28493150684931506</v>
      </c>
      <c r="J58" s="304">
        <v>104</v>
      </c>
      <c r="K58" s="305">
        <f t="shared" si="20"/>
        <v>0.28493150684931506</v>
      </c>
      <c r="L58" s="305">
        <v>208</v>
      </c>
      <c r="M58" s="305">
        <f t="shared" si="20"/>
        <v>0.5698630136986301</v>
      </c>
      <c r="N58" s="305">
        <v>70.8</v>
      </c>
      <c r="O58" s="305">
        <f t="shared" si="20"/>
        <v>0.19397260273972602</v>
      </c>
    </row>
    <row r="59" spans="1:15" ht="13.5" thickBot="1">
      <c r="A59" s="124"/>
      <c r="B59" s="237"/>
      <c r="C59" s="237"/>
      <c r="D59" s="307"/>
      <c r="E59" s="308"/>
      <c r="F59" s="307"/>
      <c r="G59" s="308"/>
      <c r="H59" s="308"/>
      <c r="I59" s="308"/>
      <c r="J59" s="307"/>
      <c r="K59" s="308"/>
      <c r="L59" s="308"/>
      <c r="M59" s="308"/>
      <c r="N59" s="308"/>
      <c r="O59" s="308"/>
    </row>
    <row r="60" spans="1:15" ht="12.75">
      <c r="A60" s="154" t="s">
        <v>116</v>
      </c>
      <c r="B60" s="236"/>
      <c r="C60" s="236"/>
      <c r="D60" s="304"/>
      <c r="E60" s="305"/>
      <c r="F60" s="304"/>
      <c r="G60" s="305"/>
      <c r="H60" s="305"/>
      <c r="I60" s="305"/>
      <c r="J60" s="304"/>
      <c r="K60" s="305"/>
      <c r="L60" s="305"/>
      <c r="M60" s="305"/>
      <c r="N60" s="305"/>
      <c r="O60" s="305"/>
    </row>
    <row r="61" spans="1:15" ht="12.75">
      <c r="A61" s="154" t="s">
        <v>352</v>
      </c>
      <c r="B61" s="236"/>
      <c r="C61" s="236"/>
      <c r="D61" s="304"/>
      <c r="E61" s="305"/>
      <c r="F61" s="304"/>
      <c r="G61" s="305"/>
      <c r="H61" s="305"/>
      <c r="I61" s="305"/>
      <c r="J61" s="304"/>
      <c r="K61" s="305"/>
      <c r="L61" s="305"/>
      <c r="M61" s="305"/>
      <c r="N61" s="305"/>
      <c r="O61" s="305"/>
    </row>
    <row r="62" spans="1:15" ht="12.75">
      <c r="A62" s="121" t="s">
        <v>586</v>
      </c>
      <c r="B62" s="236">
        <v>2.14</v>
      </c>
      <c r="C62" s="236">
        <v>3.206</v>
      </c>
      <c r="D62" s="304">
        <f>EXP(8.87-1.93*$B62)/365</f>
        <v>0.3134556633653534</v>
      </c>
      <c r="E62" s="305">
        <f>EXP(8.87-1.93*$C62)/365</f>
        <v>0.04005597798410694</v>
      </c>
      <c r="F62" s="304">
        <v>594</v>
      </c>
      <c r="G62" s="305">
        <f>IF(ISNUMBER(F62),F62/365,"-")</f>
        <v>1.6273972602739726</v>
      </c>
      <c r="H62" s="305">
        <v>594</v>
      </c>
      <c r="I62" s="305">
        <f>IF(ISNUMBER(H62),H62/365,"-")</f>
        <v>1.6273972602739726</v>
      </c>
      <c r="J62" s="304">
        <v>760</v>
      </c>
      <c r="K62" s="305">
        <f>IF(ISNUMBER(J62),J62/365,"-")</f>
        <v>2.0821917808219177</v>
      </c>
      <c r="L62" s="305">
        <v>515</v>
      </c>
      <c r="M62" s="305">
        <f>IF(ISNUMBER(L62),L62/365,"-")</f>
        <v>1.4109589041095891</v>
      </c>
      <c r="N62" s="305">
        <v>515</v>
      </c>
      <c r="O62" s="305">
        <f>IF(ISNUMBER(N62),N62/365,"-")</f>
        <v>1.4109589041095891</v>
      </c>
    </row>
    <row r="63" spans="1:15" ht="12.75">
      <c r="A63" s="121" t="s">
        <v>587</v>
      </c>
      <c r="B63" s="236">
        <v>2.3893</v>
      </c>
      <c r="C63" s="236">
        <v>3.3563</v>
      </c>
      <c r="D63" s="304">
        <f>EXP(8.87-1.93*$B63)/365</f>
        <v>0.19373842517170903</v>
      </c>
      <c r="E63" s="305">
        <f>EXP(8.87-1.93*$C63)/365</f>
        <v>0.029970061260872666</v>
      </c>
      <c r="F63" s="304">
        <v>930</v>
      </c>
      <c r="G63" s="305">
        <f>IF(ISNUMBER(F63),F63/365,"-")</f>
        <v>2.547945205479452</v>
      </c>
      <c r="H63" s="305">
        <v>930</v>
      </c>
      <c r="I63" s="305">
        <f>IF(ISNUMBER(H63),H63/365,"-")</f>
        <v>2.547945205479452</v>
      </c>
      <c r="J63" s="304">
        <v>757</v>
      </c>
      <c r="K63" s="305">
        <f>IF(ISNUMBER(J63),J63/365,"-")</f>
        <v>2.073972602739726</v>
      </c>
      <c r="L63" s="305">
        <v>801</v>
      </c>
      <c r="M63" s="305">
        <f>IF(ISNUMBER(L63),L63/365,"-")</f>
        <v>2.1945205479452055</v>
      </c>
      <c r="N63" s="305">
        <v>217</v>
      </c>
      <c r="O63" s="305">
        <f>IF(ISNUMBER(N63),N63/365,"-")</f>
        <v>0.5945205479452055</v>
      </c>
    </row>
    <row r="64" spans="1:15" ht="12.75">
      <c r="A64" s="121" t="s">
        <v>117</v>
      </c>
      <c r="B64" s="236">
        <v>2.6386</v>
      </c>
      <c r="C64" s="236">
        <v>3.5067</v>
      </c>
      <c r="D64" s="304">
        <f>EXP(8.87-1.93*$B64)/365</f>
        <v>0.11974445439916923</v>
      </c>
      <c r="E64" s="305">
        <f>EXP(8.87-1.93*$C64)/365</f>
        <v>0.022419406051748792</v>
      </c>
      <c r="F64" s="304" t="s">
        <v>963</v>
      </c>
      <c r="G64" s="305" t="str">
        <f>IF(ISNUMBER(F64),F64/365,"-")</f>
        <v>-</v>
      </c>
      <c r="H64" s="304" t="s">
        <v>963</v>
      </c>
      <c r="I64" s="305" t="str">
        <f>IF(ISNUMBER(H64),H64/365,"-")</f>
        <v>-</v>
      </c>
      <c r="J64" s="304" t="s">
        <v>963</v>
      </c>
      <c r="K64" s="305" t="str">
        <f>IF(ISNUMBER(J64),J64/365,"-")</f>
        <v>-</v>
      </c>
      <c r="L64" s="304" t="s">
        <v>963</v>
      </c>
      <c r="M64" s="305" t="str">
        <f>IF(ISNUMBER(L64),L64/365,"-")</f>
        <v>-</v>
      </c>
      <c r="N64" s="304" t="s">
        <v>963</v>
      </c>
      <c r="O64" s="305" t="str">
        <f>IF(ISNUMBER(N64),N64/365,"-")</f>
        <v>-</v>
      </c>
    </row>
    <row r="65" spans="1:15" ht="12.75">
      <c r="A65" s="121" t="s">
        <v>588</v>
      </c>
      <c r="B65" s="236">
        <v>2.8879</v>
      </c>
      <c r="C65" s="236">
        <v>3.657</v>
      </c>
      <c r="D65" s="304">
        <f>EXP(8.87-1.93*$B65)/365</f>
        <v>0.07401079236938347</v>
      </c>
      <c r="E65" s="305">
        <f>EXP(8.87-1.93*$C65)/365</f>
        <v>0.016774299533265327</v>
      </c>
      <c r="F65" s="304">
        <v>278</v>
      </c>
      <c r="G65" s="305">
        <f>IF(ISNUMBER(F65),F65/365,"-")</f>
        <v>0.7616438356164383</v>
      </c>
      <c r="H65" s="305">
        <v>278</v>
      </c>
      <c r="I65" s="305">
        <f>IF(ISNUMBER(H65),H65/365,"-")</f>
        <v>0.7616438356164383</v>
      </c>
      <c r="J65" s="304">
        <v>260</v>
      </c>
      <c r="K65" s="305">
        <f>IF(ISNUMBER(J65),J65/365,"-")</f>
        <v>0.7123287671232876</v>
      </c>
      <c r="L65" s="305">
        <v>4350</v>
      </c>
      <c r="M65" s="305">
        <f>IF(ISNUMBER(L65),L65/365,"-")</f>
        <v>11.917808219178083</v>
      </c>
      <c r="N65" s="305">
        <v>1110</v>
      </c>
      <c r="O65" s="305">
        <f>IF(ISNUMBER(N65),N65/365,"-")</f>
        <v>3.041095890410959</v>
      </c>
    </row>
    <row r="66" spans="1:15" ht="12.75">
      <c r="A66" s="121"/>
      <c r="B66" s="236"/>
      <c r="C66" s="236"/>
      <c r="D66" s="304"/>
      <c r="E66" s="305"/>
      <c r="F66" s="304"/>
      <c r="G66" s="305"/>
      <c r="H66" s="305"/>
      <c r="I66" s="305"/>
      <c r="J66" s="304"/>
      <c r="K66" s="305"/>
      <c r="L66" s="305"/>
      <c r="M66" s="305"/>
      <c r="N66" s="305"/>
      <c r="O66" s="305"/>
    </row>
    <row r="67" spans="1:15" ht="12.75">
      <c r="A67" s="154" t="s">
        <v>353</v>
      </c>
      <c r="B67" s="236"/>
      <c r="C67" s="236"/>
      <c r="D67" s="304"/>
      <c r="E67" s="305"/>
      <c r="F67" s="304"/>
      <c r="G67" s="305"/>
      <c r="H67" s="305"/>
      <c r="I67" s="305"/>
      <c r="J67" s="304"/>
      <c r="K67" s="305"/>
      <c r="L67" s="305"/>
      <c r="M67" s="305"/>
      <c r="N67" s="305"/>
      <c r="O67" s="305"/>
    </row>
    <row r="68" spans="1:15" ht="12.75">
      <c r="A68" s="121" t="s">
        <v>126</v>
      </c>
      <c r="B68" s="236">
        <v>1.9544</v>
      </c>
      <c r="C68" s="236">
        <v>3.0699</v>
      </c>
      <c r="D68" s="304">
        <f aca="true" t="shared" si="21" ref="D68:D80">EXP(8.87-1.93*$B68)/365</f>
        <v>0.44848082429944847</v>
      </c>
      <c r="E68" s="305">
        <f aca="true" t="shared" si="22" ref="E68:E80">EXP(8.87-1.93*$C68)/365</f>
        <v>0.05208885057612198</v>
      </c>
      <c r="F68" s="304">
        <v>197</v>
      </c>
      <c r="G68" s="305">
        <f aca="true" t="shared" si="23" ref="G68:G80">IF(ISNUMBER(F68),F68/365,"-")</f>
        <v>0.5397260273972603</v>
      </c>
      <c r="H68" s="305">
        <v>197</v>
      </c>
      <c r="I68" s="305">
        <f aca="true" t="shared" si="24" ref="I68:I80">IF(ISNUMBER(H68),H68/365,"-")</f>
        <v>0.5397260273972603</v>
      </c>
      <c r="J68" s="304">
        <v>14.5</v>
      </c>
      <c r="K68" s="305">
        <f aca="true" t="shared" si="25" ref="K68:K80">IF(ISNUMBER(J68),J68/365,"-")</f>
        <v>0.03972602739726028</v>
      </c>
      <c r="L68" s="305">
        <v>4</v>
      </c>
      <c r="M68" s="305">
        <f aca="true" t="shared" si="26" ref="M68:M80">IF(ISNUMBER(L68),L68/365,"-")</f>
        <v>0.010958904109589041</v>
      </c>
      <c r="N68" s="305">
        <v>186</v>
      </c>
      <c r="O68" s="305">
        <f aca="true" t="shared" si="27" ref="O68:O80">IF(ISNUMBER(N68),N68/365,"-")</f>
        <v>0.5095890410958904</v>
      </c>
    </row>
    <row r="69" spans="1:15" ht="12.75">
      <c r="A69" s="121" t="s">
        <v>127</v>
      </c>
      <c r="B69" s="236">
        <v>2.4158</v>
      </c>
      <c r="C69" s="236">
        <v>3.3737</v>
      </c>
      <c r="D69" s="304">
        <f t="shared" si="21"/>
        <v>0.18407879974203323</v>
      </c>
      <c r="E69" s="305">
        <f t="shared" si="22"/>
        <v>0.028980318448685635</v>
      </c>
      <c r="F69" s="304">
        <v>61</v>
      </c>
      <c r="G69" s="305">
        <f t="shared" si="23"/>
        <v>0.16712328767123288</v>
      </c>
      <c r="H69" s="305">
        <v>61</v>
      </c>
      <c r="I69" s="305">
        <f t="shared" si="24"/>
        <v>0.16712328767123288</v>
      </c>
      <c r="J69" s="304">
        <v>1280</v>
      </c>
      <c r="K69" s="305">
        <f t="shared" si="25"/>
        <v>3.506849315068493</v>
      </c>
      <c r="L69" s="305">
        <v>1310</v>
      </c>
      <c r="M69" s="305">
        <f t="shared" si="26"/>
        <v>3.589041095890411</v>
      </c>
      <c r="N69" s="305">
        <v>93.5</v>
      </c>
      <c r="O69" s="305">
        <f t="shared" si="27"/>
        <v>0.25616438356164384</v>
      </c>
    </row>
    <row r="70" spans="1:15" ht="12.75">
      <c r="A70" s="121" t="s">
        <v>357</v>
      </c>
      <c r="B70" s="236">
        <v>2.6651</v>
      </c>
      <c r="C70" s="236">
        <v>3.524</v>
      </c>
      <c r="D70" s="304">
        <f t="shared" si="21"/>
        <v>0.11377410248910436</v>
      </c>
      <c r="E70" s="305">
        <f t="shared" si="22"/>
        <v>0.02168320343124115</v>
      </c>
      <c r="F70" s="304" t="s">
        <v>963</v>
      </c>
      <c r="G70" s="305" t="str">
        <f t="shared" si="23"/>
        <v>-</v>
      </c>
      <c r="H70" s="305"/>
      <c r="I70" s="305" t="str">
        <f t="shared" si="24"/>
        <v>-</v>
      </c>
      <c r="J70" s="304"/>
      <c r="K70" s="305" t="str">
        <f t="shared" si="25"/>
        <v>-</v>
      </c>
      <c r="L70" s="305"/>
      <c r="M70" s="305" t="str">
        <f t="shared" si="26"/>
        <v>-</v>
      </c>
      <c r="N70" s="305"/>
      <c r="O70" s="305" t="str">
        <f t="shared" si="27"/>
        <v>-</v>
      </c>
    </row>
    <row r="71" spans="1:15" ht="12.75">
      <c r="A71" s="121" t="s">
        <v>603</v>
      </c>
      <c r="B71" s="236">
        <v>2.9144</v>
      </c>
      <c r="C71" s="236">
        <v>3.6743</v>
      </c>
      <c r="D71" s="304">
        <f t="shared" si="21"/>
        <v>0.07032068013992704</v>
      </c>
      <c r="E71" s="305">
        <f t="shared" si="22"/>
        <v>0.01622346945127896</v>
      </c>
      <c r="F71" s="304" t="s">
        <v>963</v>
      </c>
      <c r="G71" s="305" t="str">
        <f t="shared" si="23"/>
        <v>-</v>
      </c>
      <c r="H71" s="305"/>
      <c r="I71" s="305" t="str">
        <f t="shared" si="24"/>
        <v>-</v>
      </c>
      <c r="J71" s="304"/>
      <c r="K71" s="305" t="str">
        <f t="shared" si="25"/>
        <v>-</v>
      </c>
      <c r="L71" s="305"/>
      <c r="M71" s="305" t="str">
        <f t="shared" si="26"/>
        <v>-</v>
      </c>
      <c r="N71" s="305"/>
      <c r="O71" s="305" t="str">
        <f t="shared" si="27"/>
        <v>-</v>
      </c>
    </row>
    <row r="72" spans="1:15" ht="12.75">
      <c r="A72" s="121" t="s">
        <v>926</v>
      </c>
      <c r="B72" s="236">
        <v>2.1355</v>
      </c>
      <c r="C72" s="236">
        <v>3.2031</v>
      </c>
      <c r="D72" s="304">
        <f t="shared" si="21"/>
        <v>0.31618988195928166</v>
      </c>
      <c r="E72" s="305">
        <f t="shared" si="22"/>
        <v>0.04028079987002684</v>
      </c>
      <c r="F72" s="304">
        <v>88.3</v>
      </c>
      <c r="G72" s="305">
        <f t="shared" si="23"/>
        <v>0.24191780821917808</v>
      </c>
      <c r="H72" s="305">
        <v>88.3</v>
      </c>
      <c r="I72" s="305">
        <f t="shared" si="24"/>
        <v>0.24191780821917808</v>
      </c>
      <c r="J72" s="304">
        <v>22.7</v>
      </c>
      <c r="K72" s="305">
        <f t="shared" si="25"/>
        <v>0.06219178082191781</v>
      </c>
      <c r="L72" s="305">
        <v>22.7</v>
      </c>
      <c r="M72" s="305">
        <f t="shared" si="26"/>
        <v>0.06219178082191781</v>
      </c>
      <c r="N72" s="305">
        <v>93.5</v>
      </c>
      <c r="O72" s="305">
        <f t="shared" si="27"/>
        <v>0.25616438356164384</v>
      </c>
    </row>
    <row r="73" spans="1:15" ht="12.75">
      <c r="A73" s="121" t="s">
        <v>928</v>
      </c>
      <c r="B73" s="236">
        <v>1.9234</v>
      </c>
      <c r="C73" s="236">
        <v>3.0497</v>
      </c>
      <c r="D73" s="304">
        <f t="shared" si="21"/>
        <v>0.47613238028079197</v>
      </c>
      <c r="E73" s="305">
        <f t="shared" si="22"/>
        <v>0.05415969111533189</v>
      </c>
      <c r="F73" s="304">
        <v>66.7</v>
      </c>
      <c r="G73" s="305">
        <f t="shared" si="23"/>
        <v>0.18273972602739727</v>
      </c>
      <c r="H73" s="305">
        <v>104</v>
      </c>
      <c r="I73" s="305">
        <f t="shared" si="24"/>
        <v>0.28493150684931506</v>
      </c>
      <c r="J73" s="304">
        <v>104</v>
      </c>
      <c r="K73" s="305">
        <f t="shared" si="25"/>
        <v>0.28493150684931506</v>
      </c>
      <c r="L73" s="305">
        <v>33.8</v>
      </c>
      <c r="M73" s="305">
        <f t="shared" si="26"/>
        <v>0.0926027397260274</v>
      </c>
      <c r="N73" s="305">
        <v>260</v>
      </c>
      <c r="O73" s="305">
        <f t="shared" si="27"/>
        <v>0.7123287671232876</v>
      </c>
    </row>
    <row r="74" spans="1:15" ht="12.75">
      <c r="A74" s="121" t="s">
        <v>970</v>
      </c>
      <c r="B74" s="236">
        <v>2.1727</v>
      </c>
      <c r="C74" s="236">
        <v>3.2</v>
      </c>
      <c r="D74" s="304">
        <f t="shared" si="21"/>
        <v>0.2942844820172862</v>
      </c>
      <c r="E74" s="305">
        <f t="shared" si="22"/>
        <v>0.0405225222871968</v>
      </c>
      <c r="F74" s="304">
        <v>175</v>
      </c>
      <c r="G74" s="305">
        <f t="shared" si="23"/>
        <v>0.4794520547945205</v>
      </c>
      <c r="H74" s="305">
        <v>175</v>
      </c>
      <c r="I74" s="305">
        <f t="shared" si="24"/>
        <v>0.4794520547945205</v>
      </c>
      <c r="J74" s="304">
        <v>616</v>
      </c>
      <c r="K74" s="305">
        <f t="shared" si="25"/>
        <v>1.6876712328767123</v>
      </c>
      <c r="L74" s="305">
        <v>343</v>
      </c>
      <c r="M74" s="305">
        <f t="shared" si="26"/>
        <v>0.9397260273972603</v>
      </c>
      <c r="N74" s="305">
        <v>616</v>
      </c>
      <c r="O74" s="305">
        <f t="shared" si="27"/>
        <v>1.6876712328767123</v>
      </c>
    </row>
    <row r="75" spans="1:15" ht="12.75">
      <c r="A75" s="121" t="s">
        <v>397</v>
      </c>
      <c r="B75" s="236">
        <v>2.6341</v>
      </c>
      <c r="C75" s="236">
        <v>3.5037</v>
      </c>
      <c r="D75" s="304">
        <f t="shared" si="21"/>
        <v>0.12078896420391415</v>
      </c>
      <c r="E75" s="305">
        <f t="shared" si="22"/>
        <v>0.022549590934329445</v>
      </c>
      <c r="F75" s="304">
        <v>109</v>
      </c>
      <c r="G75" s="305">
        <f t="shared" si="23"/>
        <v>0.29863013698630136</v>
      </c>
      <c r="H75" s="305">
        <v>109</v>
      </c>
      <c r="I75" s="305">
        <f t="shared" si="24"/>
        <v>0.29863013698630136</v>
      </c>
      <c r="J75" s="304">
        <v>263</v>
      </c>
      <c r="K75" s="305">
        <f t="shared" si="25"/>
        <v>0.7205479452054795</v>
      </c>
      <c r="L75" s="305">
        <v>335</v>
      </c>
      <c r="M75" s="305">
        <f t="shared" si="26"/>
        <v>0.9178082191780822</v>
      </c>
      <c r="N75" s="305">
        <v>425</v>
      </c>
      <c r="O75" s="305">
        <f t="shared" si="27"/>
        <v>1.1643835616438356</v>
      </c>
    </row>
    <row r="76" spans="1:15" ht="12.75">
      <c r="A76" s="121" t="s">
        <v>358</v>
      </c>
      <c r="B76" s="236">
        <v>2.8834</v>
      </c>
      <c r="C76" s="236">
        <v>3.654</v>
      </c>
      <c r="D76" s="304">
        <f t="shared" si="21"/>
        <v>0.07465637548782235</v>
      </c>
      <c r="E76" s="305">
        <f t="shared" si="22"/>
        <v>0.01687170444265812</v>
      </c>
      <c r="F76" s="304">
        <v>229</v>
      </c>
      <c r="G76" s="305">
        <f t="shared" si="23"/>
        <v>0.6273972602739726</v>
      </c>
      <c r="H76" s="305">
        <v>17.5</v>
      </c>
      <c r="I76" s="305">
        <f t="shared" si="24"/>
        <v>0.04794520547945205</v>
      </c>
      <c r="J76" s="304">
        <v>17.5</v>
      </c>
      <c r="K76" s="305">
        <f t="shared" si="25"/>
        <v>0.04794520547945205</v>
      </c>
      <c r="L76" s="305">
        <v>35</v>
      </c>
      <c r="M76" s="305">
        <f t="shared" si="26"/>
        <v>0.0958904109589041</v>
      </c>
      <c r="N76" s="305">
        <v>708</v>
      </c>
      <c r="O76" s="305">
        <f t="shared" si="27"/>
        <v>1.9397260273972603</v>
      </c>
    </row>
    <row r="77" spans="1:15" ht="12.75">
      <c r="A77" s="121" t="s">
        <v>612</v>
      </c>
      <c r="B77" s="236">
        <v>2.1639</v>
      </c>
      <c r="C77" s="236">
        <v>3.1943</v>
      </c>
      <c r="D77" s="304">
        <f t="shared" si="21"/>
        <v>0.299325295073754</v>
      </c>
      <c r="E77" s="305">
        <f t="shared" si="22"/>
        <v>0.0409707716297266</v>
      </c>
      <c r="F77" s="304" t="s">
        <v>963</v>
      </c>
      <c r="G77" s="305" t="str">
        <f t="shared" si="23"/>
        <v>-</v>
      </c>
      <c r="H77" s="305"/>
      <c r="I77" s="305" t="str">
        <f t="shared" si="24"/>
        <v>-</v>
      </c>
      <c r="J77" s="304"/>
      <c r="K77" s="305" t="str">
        <f t="shared" si="25"/>
        <v>-</v>
      </c>
      <c r="L77" s="305"/>
      <c r="M77" s="305" t="str">
        <f t="shared" si="26"/>
        <v>-</v>
      </c>
      <c r="N77" s="305"/>
      <c r="O77" s="305" t="str">
        <f t="shared" si="27"/>
        <v>-</v>
      </c>
    </row>
    <row r="78" spans="1:15" ht="12.75">
      <c r="A78" s="121" t="s">
        <v>614</v>
      </c>
      <c r="B78" s="236">
        <v>2.3735</v>
      </c>
      <c r="C78" s="236">
        <v>3.3186</v>
      </c>
      <c r="D78" s="304">
        <f t="shared" si="21"/>
        <v>0.1997372844701987</v>
      </c>
      <c r="E78" s="305">
        <f t="shared" si="22"/>
        <v>0.032232005721522114</v>
      </c>
      <c r="F78" s="304" t="s">
        <v>963</v>
      </c>
      <c r="G78" s="305" t="str">
        <f t="shared" si="23"/>
        <v>-</v>
      </c>
      <c r="H78" s="305"/>
      <c r="I78" s="305" t="str">
        <f t="shared" si="24"/>
        <v>-</v>
      </c>
      <c r="J78" s="304"/>
      <c r="K78" s="305" t="str">
        <f t="shared" si="25"/>
        <v>-</v>
      </c>
      <c r="L78" s="305"/>
      <c r="M78" s="305" t="str">
        <f t="shared" si="26"/>
        <v>-</v>
      </c>
      <c r="N78" s="305"/>
      <c r="O78" s="305" t="str">
        <f t="shared" si="27"/>
        <v>-</v>
      </c>
    </row>
    <row r="79" spans="1:15" ht="12.75">
      <c r="A79" s="121" t="s">
        <v>616</v>
      </c>
      <c r="B79" s="236">
        <v>2.6236</v>
      </c>
      <c r="C79" s="236">
        <v>3.5174</v>
      </c>
      <c r="D79" s="304">
        <f t="shared" si="21"/>
        <v>0.12326172317027223</v>
      </c>
      <c r="E79" s="305">
        <f t="shared" si="22"/>
        <v>0.021961170691536375</v>
      </c>
      <c r="F79" s="304">
        <v>104</v>
      </c>
      <c r="G79" s="305">
        <f t="shared" si="23"/>
        <v>0.28493150684931506</v>
      </c>
      <c r="H79" s="305">
        <v>104</v>
      </c>
      <c r="I79" s="305">
        <f t="shared" si="24"/>
        <v>0.28493150684931506</v>
      </c>
      <c r="J79" s="304">
        <v>97</v>
      </c>
      <c r="K79" s="305">
        <f t="shared" si="25"/>
        <v>0.26575342465753427</v>
      </c>
      <c r="L79" s="305">
        <v>97</v>
      </c>
      <c r="M79" s="305">
        <f t="shared" si="26"/>
        <v>0.26575342465753427</v>
      </c>
      <c r="N79" s="305">
        <v>104</v>
      </c>
      <c r="O79" s="305">
        <f t="shared" si="27"/>
        <v>0.28493150684931506</v>
      </c>
    </row>
    <row r="80" spans="1:21" ht="12.75">
      <c r="A80" s="121" t="s">
        <v>615</v>
      </c>
      <c r="B80" s="236">
        <v>2.5197</v>
      </c>
      <c r="C80" s="236">
        <v>3.4455</v>
      </c>
      <c r="D80" s="304">
        <f t="shared" si="21"/>
        <v>0.1506315705797376</v>
      </c>
      <c r="E80" s="305">
        <f t="shared" si="22"/>
        <v>0.025230231177157822</v>
      </c>
      <c r="F80" s="304" t="s">
        <v>963</v>
      </c>
      <c r="G80" s="305" t="str">
        <f t="shared" si="23"/>
        <v>-</v>
      </c>
      <c r="H80" s="305"/>
      <c r="I80" s="305" t="str">
        <f t="shared" si="24"/>
        <v>-</v>
      </c>
      <c r="J80" s="304"/>
      <c r="K80" s="305" t="str">
        <f t="shared" si="25"/>
        <v>-</v>
      </c>
      <c r="L80" s="305"/>
      <c r="M80" s="305" t="str">
        <f t="shared" si="26"/>
        <v>-</v>
      </c>
      <c r="N80" s="305"/>
      <c r="O80" s="305" t="str">
        <f t="shared" si="27"/>
        <v>-</v>
      </c>
      <c r="U80" s="104"/>
    </row>
    <row r="81" spans="1:15" ht="13.5" thickBot="1">
      <c r="A81" s="124"/>
      <c r="B81" s="237"/>
      <c r="C81" s="237"/>
      <c r="D81" s="307"/>
      <c r="E81" s="308"/>
      <c r="F81" s="307"/>
      <c r="G81" s="308"/>
      <c r="H81" s="308"/>
      <c r="I81" s="308"/>
      <c r="J81" s="307"/>
      <c r="K81" s="308"/>
      <c r="L81" s="308"/>
      <c r="M81" s="308"/>
      <c r="N81" s="308"/>
      <c r="O81" s="308"/>
    </row>
    <row r="82" spans="1:15" ht="12.75">
      <c r="A82" s="154" t="s">
        <v>118</v>
      </c>
      <c r="B82" s="236"/>
      <c r="C82" s="236"/>
      <c r="D82" s="304"/>
      <c r="E82" s="305"/>
      <c r="F82" s="304"/>
      <c r="G82" s="305"/>
      <c r="H82" s="305"/>
      <c r="I82" s="305"/>
      <c r="J82" s="304"/>
      <c r="K82" s="305"/>
      <c r="L82" s="305"/>
      <c r="M82" s="305"/>
      <c r="N82" s="305"/>
      <c r="O82" s="305"/>
    </row>
    <row r="83" spans="1:15" ht="12.75">
      <c r="A83" s="187" t="s">
        <v>655</v>
      </c>
      <c r="B83" s="236">
        <v>2.8676</v>
      </c>
      <c r="C83" s="236">
        <v>3.6116</v>
      </c>
      <c r="D83" s="304">
        <f aca="true" t="shared" si="28" ref="D83:D101">EXP(8.87-1.93*$B83)/365</f>
        <v>0.07696801341865477</v>
      </c>
      <c r="E83" s="305">
        <f aca="true" t="shared" si="29" ref="E83:E101">EXP(8.87-1.93*$C83)/365</f>
        <v>0.01831041320118144</v>
      </c>
      <c r="F83" s="304" t="s">
        <v>963</v>
      </c>
      <c r="G83" s="305" t="str">
        <f aca="true" t="shared" si="30" ref="G83:G101">IF(ISNUMBER(F83),F83/365,"-")</f>
        <v>-</v>
      </c>
      <c r="H83" s="304" t="s">
        <v>963</v>
      </c>
      <c r="I83" s="305" t="str">
        <f aca="true" t="shared" si="31" ref="I83:I101">IF(ISNUMBER(H83),H83/365,"-")</f>
        <v>-</v>
      </c>
      <c r="J83" s="304" t="s">
        <v>963</v>
      </c>
      <c r="K83" s="305" t="str">
        <f aca="true" t="shared" si="32" ref="K83:K101">IF(ISNUMBER(J83),J83/365,"-")</f>
        <v>-</v>
      </c>
      <c r="L83" s="304" t="s">
        <v>963</v>
      </c>
      <c r="M83" s="305" t="str">
        <f aca="true" t="shared" si="33" ref="M83:M101">IF(ISNUMBER(L83),L83/365,"-")</f>
        <v>-</v>
      </c>
      <c r="N83" s="304" t="s">
        <v>963</v>
      </c>
      <c r="O83" s="305" t="str">
        <f aca="true" t="shared" si="34" ref="O83:O101">IF(ISNUMBER(N83),N83/365,"-")</f>
        <v>-</v>
      </c>
    </row>
    <row r="84" spans="1:15" ht="12.75">
      <c r="A84" s="121" t="s">
        <v>263</v>
      </c>
      <c r="B84" s="236">
        <v>2.33</v>
      </c>
      <c r="C84" s="236">
        <v>3.32</v>
      </c>
      <c r="D84" s="304">
        <f t="shared" si="28"/>
        <v>0.21723026617877397</v>
      </c>
      <c r="E84" s="305">
        <f t="shared" si="29"/>
        <v>0.03214503239594004</v>
      </c>
      <c r="F84" s="304">
        <v>454</v>
      </c>
      <c r="G84" s="305">
        <f t="shared" si="30"/>
        <v>1.2438356164383562</v>
      </c>
      <c r="H84" s="305">
        <v>454</v>
      </c>
      <c r="I84" s="305">
        <f t="shared" si="31"/>
        <v>1.2438356164383562</v>
      </c>
      <c r="J84" s="304">
        <v>130</v>
      </c>
      <c r="K84" s="305">
        <f t="shared" si="32"/>
        <v>0.3561643835616438</v>
      </c>
      <c r="L84" s="305">
        <v>130</v>
      </c>
      <c r="M84" s="305">
        <f t="shared" si="33"/>
        <v>0.3561643835616438</v>
      </c>
      <c r="N84" s="305">
        <v>129</v>
      </c>
      <c r="O84" s="305">
        <f t="shared" si="34"/>
        <v>0.35342465753424657</v>
      </c>
    </row>
    <row r="85" spans="1:15" ht="12.75">
      <c r="A85" s="121" t="s">
        <v>917</v>
      </c>
      <c r="B85" s="236">
        <v>2.8101</v>
      </c>
      <c r="C85" s="236">
        <v>3.574</v>
      </c>
      <c r="D85" s="304">
        <f t="shared" si="28"/>
        <v>0.08600151611993172</v>
      </c>
      <c r="E85" s="305">
        <f t="shared" si="29"/>
        <v>0.019688563327235824</v>
      </c>
      <c r="F85" s="304" t="s">
        <v>963</v>
      </c>
      <c r="G85" s="305" t="str">
        <f t="shared" si="30"/>
        <v>-</v>
      </c>
      <c r="H85" s="304" t="s">
        <v>963</v>
      </c>
      <c r="I85" s="305" t="str">
        <f t="shared" si="31"/>
        <v>-</v>
      </c>
      <c r="J85" s="304" t="s">
        <v>963</v>
      </c>
      <c r="K85" s="305" t="str">
        <f t="shared" si="32"/>
        <v>-</v>
      </c>
      <c r="L85" s="304" t="s">
        <v>963</v>
      </c>
      <c r="M85" s="305" t="str">
        <f t="shared" si="33"/>
        <v>-</v>
      </c>
      <c r="N85" s="304" t="s">
        <v>963</v>
      </c>
      <c r="O85" s="305" t="str">
        <f t="shared" si="34"/>
        <v>-</v>
      </c>
    </row>
    <row r="86" spans="1:15" ht="12.75">
      <c r="A86" s="121" t="s">
        <v>918</v>
      </c>
      <c r="B86" s="236">
        <v>2.7042</v>
      </c>
      <c r="C86" s="236">
        <v>3.4853</v>
      </c>
      <c r="D86" s="304">
        <f t="shared" si="28"/>
        <v>0.10550432268556671</v>
      </c>
      <c r="E86" s="305">
        <f t="shared" si="29"/>
        <v>0.023364760492389686</v>
      </c>
      <c r="F86" s="304" t="s">
        <v>963</v>
      </c>
      <c r="G86" s="305" t="str">
        <f t="shared" si="30"/>
        <v>-</v>
      </c>
      <c r="H86" s="304" t="s">
        <v>963</v>
      </c>
      <c r="I86" s="305" t="str">
        <f t="shared" si="31"/>
        <v>-</v>
      </c>
      <c r="J86" s="304" t="s">
        <v>963</v>
      </c>
      <c r="K86" s="305" t="str">
        <f t="shared" si="32"/>
        <v>-</v>
      </c>
      <c r="L86" s="304" t="s">
        <v>963</v>
      </c>
      <c r="M86" s="305" t="str">
        <f t="shared" si="33"/>
        <v>-</v>
      </c>
      <c r="N86" s="304" t="s">
        <v>963</v>
      </c>
      <c r="O86" s="305" t="str">
        <f t="shared" si="34"/>
        <v>-</v>
      </c>
    </row>
    <row r="87" spans="1:15" ht="12.75">
      <c r="A87" s="121" t="s">
        <v>265</v>
      </c>
      <c r="B87" s="236">
        <v>2.8628</v>
      </c>
      <c r="C87" s="236">
        <v>3.6282</v>
      </c>
      <c r="D87" s="304">
        <f t="shared" si="28"/>
        <v>0.0776843580802857</v>
      </c>
      <c r="E87" s="305">
        <f t="shared" si="29"/>
        <v>0.01773308183602084</v>
      </c>
      <c r="F87" s="304" t="s">
        <v>963</v>
      </c>
      <c r="G87" s="305" t="str">
        <f t="shared" si="30"/>
        <v>-</v>
      </c>
      <c r="H87" s="304" t="s">
        <v>963</v>
      </c>
      <c r="I87" s="305" t="str">
        <f t="shared" si="31"/>
        <v>-</v>
      </c>
      <c r="J87" s="304" t="s">
        <v>963</v>
      </c>
      <c r="K87" s="305" t="str">
        <f t="shared" si="32"/>
        <v>-</v>
      </c>
      <c r="L87" s="304" t="s">
        <v>963</v>
      </c>
      <c r="M87" s="305" t="str">
        <f t="shared" si="33"/>
        <v>-</v>
      </c>
      <c r="N87" s="304" t="s">
        <v>963</v>
      </c>
      <c r="O87" s="305" t="str">
        <f t="shared" si="34"/>
        <v>-</v>
      </c>
    </row>
    <row r="88" spans="1:15" ht="12.75">
      <c r="A88" s="121" t="s">
        <v>264</v>
      </c>
      <c r="B88" s="236">
        <v>2.7087</v>
      </c>
      <c r="C88" s="236">
        <v>3.4882</v>
      </c>
      <c r="D88" s="304">
        <f t="shared" si="28"/>
        <v>0.10459198520329459</v>
      </c>
      <c r="E88" s="305">
        <f t="shared" si="29"/>
        <v>0.0232343532131173</v>
      </c>
      <c r="F88" s="304">
        <v>57.1</v>
      </c>
      <c r="G88" s="305">
        <f t="shared" si="30"/>
        <v>0.15643835616438356</v>
      </c>
      <c r="H88" s="305">
        <v>57.1</v>
      </c>
      <c r="I88" s="305">
        <f t="shared" si="31"/>
        <v>0.15643835616438356</v>
      </c>
      <c r="J88" s="304">
        <v>216</v>
      </c>
      <c r="K88" s="305">
        <f t="shared" si="32"/>
        <v>0.5917808219178082</v>
      </c>
      <c r="L88" s="305">
        <v>114</v>
      </c>
      <c r="M88" s="305">
        <f t="shared" si="33"/>
        <v>0.31232876712328766</v>
      </c>
      <c r="N88" s="305">
        <v>6.31</v>
      </c>
      <c r="O88" s="305">
        <f t="shared" si="34"/>
        <v>0.017287671232876712</v>
      </c>
    </row>
    <row r="89" spans="1:15" ht="12.75">
      <c r="A89" s="121" t="s">
        <v>120</v>
      </c>
      <c r="B89" s="236">
        <v>2.757</v>
      </c>
      <c r="C89" s="236">
        <v>3.5394</v>
      </c>
      <c r="D89" s="304">
        <f t="shared" si="28"/>
        <v>0.09528266791094676</v>
      </c>
      <c r="E89" s="305">
        <f t="shared" si="29"/>
        <v>0.021048218514348745</v>
      </c>
      <c r="F89" s="304">
        <v>44.4</v>
      </c>
      <c r="G89" s="305">
        <f t="shared" si="30"/>
        <v>0.12164383561643835</v>
      </c>
      <c r="H89" s="305">
        <v>44.4</v>
      </c>
      <c r="I89" s="305">
        <f t="shared" si="31"/>
        <v>0.12164383561643835</v>
      </c>
      <c r="J89" s="304">
        <v>152</v>
      </c>
      <c r="K89" s="305">
        <f t="shared" si="32"/>
        <v>0.41643835616438357</v>
      </c>
      <c r="L89" s="305">
        <v>92</v>
      </c>
      <c r="M89" s="305">
        <f t="shared" si="33"/>
        <v>0.25205479452054796</v>
      </c>
      <c r="N89" s="305">
        <v>136</v>
      </c>
      <c r="O89" s="305">
        <f t="shared" si="34"/>
        <v>0.3726027397260274</v>
      </c>
    </row>
    <row r="90" spans="1:15" ht="12.75">
      <c r="A90" s="121" t="s">
        <v>121</v>
      </c>
      <c r="B90" s="236">
        <v>2.2194</v>
      </c>
      <c r="C90" s="236">
        <v>3.2478</v>
      </c>
      <c r="D90" s="304">
        <f t="shared" si="28"/>
        <v>0.2689205345593872</v>
      </c>
      <c r="E90" s="305">
        <f t="shared" si="29"/>
        <v>0.036951414399370816</v>
      </c>
      <c r="F90" s="304" t="s">
        <v>963</v>
      </c>
      <c r="G90" s="305" t="str">
        <f t="shared" si="30"/>
        <v>-</v>
      </c>
      <c r="H90" s="304" t="s">
        <v>963</v>
      </c>
      <c r="I90" s="305" t="str">
        <f t="shared" si="31"/>
        <v>-</v>
      </c>
      <c r="J90" s="304" t="s">
        <v>963</v>
      </c>
      <c r="K90" s="305" t="str">
        <f t="shared" si="32"/>
        <v>-</v>
      </c>
      <c r="L90" s="304" t="s">
        <v>963</v>
      </c>
      <c r="M90" s="305" t="str">
        <f t="shared" si="33"/>
        <v>-</v>
      </c>
      <c r="N90" s="304" t="s">
        <v>963</v>
      </c>
      <c r="O90" s="305" t="str">
        <f t="shared" si="34"/>
        <v>-</v>
      </c>
    </row>
    <row r="91" spans="1:15" ht="12.75">
      <c r="A91" s="121" t="s">
        <v>119</v>
      </c>
      <c r="B91" s="236">
        <v>2.2194</v>
      </c>
      <c r="C91" s="236">
        <v>3.2478</v>
      </c>
      <c r="D91" s="304">
        <f t="shared" si="28"/>
        <v>0.2689205345593872</v>
      </c>
      <c r="E91" s="305">
        <f t="shared" si="29"/>
        <v>0.036951414399370816</v>
      </c>
      <c r="F91" s="304">
        <v>568</v>
      </c>
      <c r="G91" s="305">
        <f t="shared" si="30"/>
        <v>1.5561643835616439</v>
      </c>
      <c r="H91" s="305">
        <v>568</v>
      </c>
      <c r="I91" s="305">
        <f t="shared" si="31"/>
        <v>1.5561643835616439</v>
      </c>
      <c r="J91" s="304">
        <v>970</v>
      </c>
      <c r="K91" s="305">
        <f t="shared" si="32"/>
        <v>2.6575342465753424</v>
      </c>
      <c r="L91" s="305">
        <v>510</v>
      </c>
      <c r="M91" s="305">
        <f t="shared" si="33"/>
        <v>1.3972602739726028</v>
      </c>
      <c r="N91" s="305">
        <v>945</v>
      </c>
      <c r="O91" s="305">
        <f t="shared" si="34"/>
        <v>2.589041095890411</v>
      </c>
    </row>
    <row r="92" spans="1:15" ht="12.75">
      <c r="A92" s="121" t="s">
        <v>374</v>
      </c>
      <c r="B92" s="236">
        <v>1.9529</v>
      </c>
      <c r="C92" s="236">
        <v>2.8537</v>
      </c>
      <c r="D92" s="304">
        <f t="shared" si="28"/>
        <v>0.44978105746519514</v>
      </c>
      <c r="E92" s="305">
        <f t="shared" si="29"/>
        <v>0.0790607801308582</v>
      </c>
      <c r="F92" s="304">
        <v>852</v>
      </c>
      <c r="G92" s="305">
        <f t="shared" si="30"/>
        <v>2.334246575342466</v>
      </c>
      <c r="H92" s="305">
        <v>852</v>
      </c>
      <c r="I92" s="305">
        <f t="shared" si="31"/>
        <v>2.334246575342466</v>
      </c>
      <c r="J92" s="304">
        <v>1020</v>
      </c>
      <c r="K92" s="305">
        <f t="shared" si="32"/>
        <v>2.7945205479452055</v>
      </c>
      <c r="L92" s="305">
        <v>580</v>
      </c>
      <c r="M92" s="305">
        <f t="shared" si="33"/>
        <v>1.5890410958904109</v>
      </c>
      <c r="N92" s="305">
        <v>950</v>
      </c>
      <c r="O92" s="305">
        <f t="shared" si="34"/>
        <v>2.6027397260273974</v>
      </c>
    </row>
    <row r="93" spans="1:15" ht="12.75">
      <c r="A93" s="121" t="s">
        <v>122</v>
      </c>
      <c r="B93" s="236">
        <v>1.9529</v>
      </c>
      <c r="C93" s="236">
        <v>2.8537</v>
      </c>
      <c r="D93" s="304">
        <f t="shared" si="28"/>
        <v>0.44978105746519514</v>
      </c>
      <c r="E93" s="305">
        <f t="shared" si="29"/>
        <v>0.0790607801308582</v>
      </c>
      <c r="F93" s="304">
        <v>1010</v>
      </c>
      <c r="G93" s="305">
        <f t="shared" si="30"/>
        <v>2.767123287671233</v>
      </c>
      <c r="H93" s="305">
        <v>1010</v>
      </c>
      <c r="I93" s="305">
        <f t="shared" si="31"/>
        <v>2.767123287671233</v>
      </c>
      <c r="J93" s="304">
        <v>4010</v>
      </c>
      <c r="K93" s="305">
        <f t="shared" si="32"/>
        <v>10.986301369863014</v>
      </c>
      <c r="L93" s="305">
        <v>2110</v>
      </c>
      <c r="M93" s="305">
        <f t="shared" si="33"/>
        <v>5.780821917808219</v>
      </c>
      <c r="N93" s="305">
        <v>3910</v>
      </c>
      <c r="O93" s="305">
        <f t="shared" si="34"/>
        <v>10.712328767123287</v>
      </c>
    </row>
    <row r="94" spans="1:15" ht="12.75">
      <c r="A94" s="121" t="s">
        <v>638</v>
      </c>
      <c r="B94" s="236">
        <v>1.8953</v>
      </c>
      <c r="C94" s="236">
        <v>2.8161</v>
      </c>
      <c r="D94" s="304">
        <f t="shared" si="28"/>
        <v>0.5026675038586237</v>
      </c>
      <c r="E94" s="305">
        <f t="shared" si="29"/>
        <v>0.08501136261669028</v>
      </c>
      <c r="F94" s="304">
        <v>878</v>
      </c>
      <c r="G94" s="305">
        <f t="shared" si="30"/>
        <v>2.4054794520547946</v>
      </c>
      <c r="H94" s="305">
        <v>878</v>
      </c>
      <c r="I94" s="305">
        <f t="shared" si="31"/>
        <v>2.4054794520547946</v>
      </c>
      <c r="J94" s="304">
        <v>1460</v>
      </c>
      <c r="K94" s="305">
        <f t="shared" si="32"/>
        <v>4</v>
      </c>
      <c r="L94" s="305">
        <v>782</v>
      </c>
      <c r="M94" s="305">
        <f t="shared" si="33"/>
        <v>2.1424657534246574</v>
      </c>
      <c r="N94" s="305">
        <v>1410</v>
      </c>
      <c r="O94" s="305">
        <f t="shared" si="34"/>
        <v>3.863013698630137</v>
      </c>
    </row>
    <row r="95" spans="1:15" ht="12.75">
      <c r="A95" s="121" t="s">
        <v>123</v>
      </c>
      <c r="B95" s="236">
        <v>1.8953</v>
      </c>
      <c r="C95" s="236">
        <v>2.8161</v>
      </c>
      <c r="D95" s="304">
        <f t="shared" si="28"/>
        <v>0.5026675038586237</v>
      </c>
      <c r="E95" s="305">
        <f t="shared" si="29"/>
        <v>0.08501136261669028</v>
      </c>
      <c r="F95" s="304">
        <v>423</v>
      </c>
      <c r="G95" s="305">
        <f t="shared" si="30"/>
        <v>1.158904109589041</v>
      </c>
      <c r="H95" s="305">
        <v>423</v>
      </c>
      <c r="I95" s="305">
        <f t="shared" si="31"/>
        <v>1.158904109589041</v>
      </c>
      <c r="J95" s="304">
        <v>2380</v>
      </c>
      <c r="K95" s="305">
        <f t="shared" si="32"/>
        <v>6.52054794520548</v>
      </c>
      <c r="L95" s="305">
        <v>1370</v>
      </c>
      <c r="M95" s="305">
        <f t="shared" si="33"/>
        <v>3.7534246575342465</v>
      </c>
      <c r="N95" s="305">
        <v>2190</v>
      </c>
      <c r="O95" s="305">
        <f t="shared" si="34"/>
        <v>6</v>
      </c>
    </row>
    <row r="96" spans="1:15" ht="12.75">
      <c r="A96" s="121" t="s">
        <v>124</v>
      </c>
      <c r="B96" s="236">
        <v>1.8422</v>
      </c>
      <c r="C96" s="236">
        <v>2.7815</v>
      </c>
      <c r="D96" s="304">
        <f t="shared" si="28"/>
        <v>0.5569146103540089</v>
      </c>
      <c r="E96" s="305">
        <f t="shared" si="29"/>
        <v>0.0908820875763641</v>
      </c>
      <c r="F96" s="304">
        <v>229</v>
      </c>
      <c r="G96" s="305">
        <f t="shared" si="30"/>
        <v>0.6273972602739726</v>
      </c>
      <c r="H96" s="305">
        <v>229</v>
      </c>
      <c r="I96" s="305">
        <f t="shared" si="31"/>
        <v>0.6273972602739726</v>
      </c>
      <c r="J96" s="304">
        <v>880</v>
      </c>
      <c r="K96" s="305">
        <f t="shared" si="32"/>
        <v>2.410958904109589</v>
      </c>
      <c r="L96" s="305">
        <v>880</v>
      </c>
      <c r="M96" s="305">
        <f t="shared" si="33"/>
        <v>2.410958904109589</v>
      </c>
      <c r="N96" s="305">
        <v>1170</v>
      </c>
      <c r="O96" s="305">
        <f t="shared" si="34"/>
        <v>3.2054794520547945</v>
      </c>
    </row>
    <row r="97" spans="1:15" ht="12.75">
      <c r="A97" s="121" t="s">
        <v>438</v>
      </c>
      <c r="B97" s="236">
        <v>1.8422</v>
      </c>
      <c r="C97" s="236">
        <v>2.7815</v>
      </c>
      <c r="D97" s="304">
        <f t="shared" si="28"/>
        <v>0.5569146103540089</v>
      </c>
      <c r="E97" s="305">
        <f t="shared" si="29"/>
        <v>0.0908820875763641</v>
      </c>
      <c r="F97" s="304">
        <v>1950</v>
      </c>
      <c r="G97" s="305">
        <f t="shared" si="30"/>
        <v>5.342465753424658</v>
      </c>
      <c r="H97" s="305">
        <v>1950</v>
      </c>
      <c r="I97" s="305">
        <f t="shared" si="31"/>
        <v>5.342465753424658</v>
      </c>
      <c r="J97" s="304">
        <v>1580</v>
      </c>
      <c r="K97" s="305">
        <f t="shared" si="32"/>
        <v>4.328767123287672</v>
      </c>
      <c r="L97" s="305">
        <v>970</v>
      </c>
      <c r="M97" s="305">
        <f t="shared" si="33"/>
        <v>2.6575342465753424</v>
      </c>
      <c r="N97" s="305">
        <v>1400</v>
      </c>
      <c r="O97" s="305">
        <f t="shared" si="34"/>
        <v>3.835616438356164</v>
      </c>
    </row>
    <row r="98" spans="1:15" ht="12.75">
      <c r="A98" s="121" t="s">
        <v>434</v>
      </c>
      <c r="B98" s="236">
        <v>1.8422</v>
      </c>
      <c r="C98" s="236">
        <v>2.7815</v>
      </c>
      <c r="D98" s="304">
        <f t="shared" si="28"/>
        <v>0.5569146103540089</v>
      </c>
      <c r="E98" s="305">
        <f t="shared" si="29"/>
        <v>0.0908820875763641</v>
      </c>
      <c r="F98" s="304" t="s">
        <v>963</v>
      </c>
      <c r="G98" s="305" t="str">
        <f t="shared" si="30"/>
        <v>-</v>
      </c>
      <c r="H98" s="304" t="s">
        <v>963</v>
      </c>
      <c r="I98" s="305" t="str">
        <f t="shared" si="31"/>
        <v>-</v>
      </c>
      <c r="J98" s="304" t="s">
        <v>963</v>
      </c>
      <c r="K98" s="305" t="str">
        <f t="shared" si="32"/>
        <v>-</v>
      </c>
      <c r="L98" s="304" t="s">
        <v>963</v>
      </c>
      <c r="M98" s="305" t="str">
        <f t="shared" si="33"/>
        <v>-</v>
      </c>
      <c r="N98" s="304" t="s">
        <v>963</v>
      </c>
      <c r="O98" s="305" t="str">
        <f t="shared" si="34"/>
        <v>-</v>
      </c>
    </row>
    <row r="99" spans="1:15" ht="12.75">
      <c r="A99" s="121" t="s">
        <v>435</v>
      </c>
      <c r="B99" s="236">
        <v>1.7892</v>
      </c>
      <c r="C99" s="236">
        <v>2.7468</v>
      </c>
      <c r="D99" s="304">
        <f t="shared" si="28"/>
        <v>0.6168969088353863</v>
      </c>
      <c r="E99" s="305">
        <f t="shared" si="29"/>
        <v>0.09717698711898443</v>
      </c>
      <c r="F99" s="304" t="s">
        <v>963</v>
      </c>
      <c r="G99" s="305" t="str">
        <f t="shared" si="30"/>
        <v>-</v>
      </c>
      <c r="H99" s="304" t="s">
        <v>963</v>
      </c>
      <c r="I99" s="305" t="str">
        <f t="shared" si="31"/>
        <v>-</v>
      </c>
      <c r="J99" s="304" t="s">
        <v>963</v>
      </c>
      <c r="K99" s="305" t="str">
        <f t="shared" si="32"/>
        <v>-</v>
      </c>
      <c r="L99" s="304" t="s">
        <v>963</v>
      </c>
      <c r="M99" s="305" t="str">
        <f t="shared" si="33"/>
        <v>-</v>
      </c>
      <c r="N99" s="304" t="s">
        <v>963</v>
      </c>
      <c r="O99" s="305" t="str">
        <f t="shared" si="34"/>
        <v>-</v>
      </c>
    </row>
    <row r="100" spans="1:15" ht="12.75">
      <c r="A100" s="121" t="s">
        <v>437</v>
      </c>
      <c r="B100" s="236">
        <v>1.7847</v>
      </c>
      <c r="C100" s="236">
        <v>2.7439</v>
      </c>
      <c r="D100" s="304">
        <f t="shared" si="28"/>
        <v>0.6222779920181406</v>
      </c>
      <c r="E100" s="305">
        <f t="shared" si="29"/>
        <v>0.09772241166262613</v>
      </c>
      <c r="F100" s="304">
        <v>945</v>
      </c>
      <c r="G100" s="305">
        <f t="shared" si="30"/>
        <v>2.589041095890411</v>
      </c>
      <c r="H100" s="305">
        <v>945</v>
      </c>
      <c r="I100" s="305">
        <f t="shared" si="31"/>
        <v>2.589041095890411</v>
      </c>
      <c r="J100" s="304">
        <v>2190</v>
      </c>
      <c r="K100" s="305">
        <f t="shared" si="32"/>
        <v>6</v>
      </c>
      <c r="L100" s="305">
        <v>1280</v>
      </c>
      <c r="M100" s="305">
        <f t="shared" si="33"/>
        <v>3.506849315068493</v>
      </c>
      <c r="N100" s="305">
        <v>2010</v>
      </c>
      <c r="O100" s="305">
        <f t="shared" si="34"/>
        <v>5.506849315068493</v>
      </c>
    </row>
    <row r="101" spans="1:15" ht="12.75">
      <c r="A101" s="121" t="s">
        <v>436</v>
      </c>
      <c r="B101" s="236">
        <v>1.7892</v>
      </c>
      <c r="C101" s="236">
        <v>2.7468</v>
      </c>
      <c r="D101" s="304">
        <f t="shared" si="28"/>
        <v>0.6168969088353863</v>
      </c>
      <c r="E101" s="305">
        <f t="shared" si="29"/>
        <v>0.09717698711898443</v>
      </c>
      <c r="F101" s="304">
        <v>665</v>
      </c>
      <c r="G101" s="305">
        <f t="shared" si="30"/>
        <v>1.821917808219178</v>
      </c>
      <c r="H101" s="305">
        <v>665</v>
      </c>
      <c r="I101" s="305">
        <f t="shared" si="31"/>
        <v>1.821917808219178</v>
      </c>
      <c r="J101" s="304">
        <v>2060</v>
      </c>
      <c r="K101" s="305">
        <f t="shared" si="32"/>
        <v>5.6438356164383565</v>
      </c>
      <c r="L101" s="305">
        <v>2060</v>
      </c>
      <c r="M101" s="305">
        <f t="shared" si="33"/>
        <v>5.6438356164383565</v>
      </c>
      <c r="N101" s="305">
        <v>1760</v>
      </c>
      <c r="O101" s="305">
        <f t="shared" si="34"/>
        <v>4.821917808219178</v>
      </c>
    </row>
    <row r="102" spans="1:15" ht="13.5" thickBot="1">
      <c r="A102" s="124"/>
      <c r="B102" s="237"/>
      <c r="C102" s="237"/>
      <c r="D102" s="307"/>
      <c r="E102" s="308"/>
      <c r="F102" s="307"/>
      <c r="G102" s="308"/>
      <c r="H102" s="308"/>
      <c r="I102" s="308"/>
      <c r="J102" s="307"/>
      <c r="K102" s="308"/>
      <c r="L102" s="308"/>
      <c r="M102" s="308"/>
      <c r="N102" s="308"/>
      <c r="O102" s="308"/>
    </row>
    <row r="103" spans="1:15" ht="12.75">
      <c r="A103" s="154" t="s">
        <v>367</v>
      </c>
      <c r="B103" s="236"/>
      <c r="C103" s="236"/>
      <c r="D103" s="304"/>
      <c r="E103" s="305"/>
      <c r="F103" s="304"/>
      <c r="G103" s="305"/>
      <c r="H103" s="305"/>
      <c r="I103" s="305"/>
      <c r="J103" s="304"/>
      <c r="K103" s="305"/>
      <c r="L103" s="305"/>
      <c r="M103" s="305"/>
      <c r="N103" s="305"/>
      <c r="O103" s="305"/>
    </row>
    <row r="104" spans="1:15" ht="12.75">
      <c r="A104" s="121" t="s">
        <v>359</v>
      </c>
      <c r="B104" s="236">
        <v>2.9403</v>
      </c>
      <c r="C104" s="236">
        <v>3.6787</v>
      </c>
      <c r="D104" s="304">
        <f aca="true" t="shared" si="35" ref="D104:D111">EXP(8.87-1.93*$B104)/365</f>
        <v>0.06689196968995523</v>
      </c>
      <c r="E104" s="305">
        <f aca="true" t="shared" si="36" ref="E104:E111">EXP(8.87-1.93*$C104)/365</f>
        <v>0.01608628306650976</v>
      </c>
      <c r="F104" s="304" t="s">
        <v>963</v>
      </c>
      <c r="G104" s="305" t="str">
        <f aca="true" t="shared" si="37" ref="G104:G111">IF(ISNUMBER(F104),F104/365,"-")</f>
        <v>-</v>
      </c>
      <c r="H104" s="304" t="s">
        <v>963</v>
      </c>
      <c r="I104" s="305" t="str">
        <f aca="true" t="shared" si="38" ref="I104:I111">IF(ISNUMBER(H104),H104/365,"-")</f>
        <v>-</v>
      </c>
      <c r="J104" s="304" t="s">
        <v>963</v>
      </c>
      <c r="K104" s="305" t="str">
        <f aca="true" t="shared" si="39" ref="K104:K111">IF(ISNUMBER(J104),J104/365,"-")</f>
        <v>-</v>
      </c>
      <c r="L104" s="304" t="s">
        <v>963</v>
      </c>
      <c r="M104" s="305" t="str">
        <f aca="true" t="shared" si="40" ref="M104:M111">IF(ISNUMBER(L104),L104/365,"-")</f>
        <v>-</v>
      </c>
      <c r="N104" s="304" t="s">
        <v>963</v>
      </c>
      <c r="O104" s="305" t="str">
        <f aca="true" t="shared" si="41" ref="O104:O111">IF(ISNUMBER(N104),N104/365,"-")</f>
        <v>-</v>
      </c>
    </row>
    <row r="105" spans="1:15" ht="12.75">
      <c r="A105" s="121" t="s">
        <v>360</v>
      </c>
      <c r="B105" s="236">
        <v>2.9381</v>
      </c>
      <c r="C105" s="236">
        <v>3.6773</v>
      </c>
      <c r="D105" s="304">
        <f t="shared" si="35"/>
        <v>0.06717659682905815</v>
      </c>
      <c r="E105" s="305">
        <f t="shared" si="36"/>
        <v>0.016129806977679503</v>
      </c>
      <c r="F105" s="304" t="s">
        <v>963</v>
      </c>
      <c r="G105" s="305" t="str">
        <f t="shared" si="37"/>
        <v>-</v>
      </c>
      <c r="H105" s="304" t="s">
        <v>963</v>
      </c>
      <c r="I105" s="305" t="str">
        <f t="shared" si="38"/>
        <v>-</v>
      </c>
      <c r="J105" s="304" t="s">
        <v>963</v>
      </c>
      <c r="K105" s="305" t="str">
        <f t="shared" si="39"/>
        <v>-</v>
      </c>
      <c r="L105" s="304" t="s">
        <v>963</v>
      </c>
      <c r="M105" s="305" t="str">
        <f t="shared" si="40"/>
        <v>-</v>
      </c>
      <c r="N105" s="304" t="s">
        <v>963</v>
      </c>
      <c r="O105" s="305" t="str">
        <f t="shared" si="41"/>
        <v>-</v>
      </c>
    </row>
    <row r="106" spans="1:15" ht="12.75">
      <c r="A106" s="121" t="s">
        <v>361</v>
      </c>
      <c r="B106" s="236">
        <v>2.9026</v>
      </c>
      <c r="C106" s="236">
        <v>3.6541</v>
      </c>
      <c r="D106" s="304">
        <f t="shared" si="35"/>
        <v>0.07194053862630446</v>
      </c>
      <c r="E106" s="305">
        <f t="shared" si="36"/>
        <v>0.016868448517907527</v>
      </c>
      <c r="F106" s="304" t="s">
        <v>963</v>
      </c>
      <c r="G106" s="305" t="str">
        <f t="shared" si="37"/>
        <v>-</v>
      </c>
      <c r="H106" s="304" t="s">
        <v>963</v>
      </c>
      <c r="I106" s="305" t="str">
        <f t="shared" si="38"/>
        <v>-</v>
      </c>
      <c r="J106" s="304" t="s">
        <v>963</v>
      </c>
      <c r="K106" s="305" t="str">
        <f t="shared" si="39"/>
        <v>-</v>
      </c>
      <c r="L106" s="304" t="s">
        <v>963</v>
      </c>
      <c r="M106" s="305" t="str">
        <f t="shared" si="40"/>
        <v>-</v>
      </c>
      <c r="N106" s="304" t="s">
        <v>963</v>
      </c>
      <c r="O106" s="305" t="str">
        <f t="shared" si="41"/>
        <v>-</v>
      </c>
    </row>
    <row r="107" spans="1:15" ht="12.75">
      <c r="A107" s="121" t="s">
        <v>362</v>
      </c>
      <c r="B107" s="236">
        <v>2.9137</v>
      </c>
      <c r="C107" s="236">
        <v>3.6614</v>
      </c>
      <c r="D107" s="304">
        <f t="shared" si="35"/>
        <v>0.07041574758239375</v>
      </c>
      <c r="E107" s="305">
        <f t="shared" si="36"/>
        <v>0.016632455304636216</v>
      </c>
      <c r="F107" s="304" t="s">
        <v>963</v>
      </c>
      <c r="G107" s="305" t="str">
        <f t="shared" si="37"/>
        <v>-</v>
      </c>
      <c r="H107" s="304" t="s">
        <v>963</v>
      </c>
      <c r="I107" s="305" t="str">
        <f t="shared" si="38"/>
        <v>-</v>
      </c>
      <c r="J107" s="304" t="s">
        <v>963</v>
      </c>
      <c r="K107" s="305" t="str">
        <f t="shared" si="39"/>
        <v>-</v>
      </c>
      <c r="L107" s="304" t="s">
        <v>963</v>
      </c>
      <c r="M107" s="305" t="str">
        <f t="shared" si="40"/>
        <v>-</v>
      </c>
      <c r="N107" s="304" t="s">
        <v>963</v>
      </c>
      <c r="O107" s="305" t="str">
        <f t="shared" si="41"/>
        <v>-</v>
      </c>
    </row>
    <row r="108" spans="1:15" ht="12.75">
      <c r="A108" s="121" t="s">
        <v>364</v>
      </c>
      <c r="B108" s="236">
        <v>2.8297</v>
      </c>
      <c r="C108" s="236">
        <v>3.6065</v>
      </c>
      <c r="D108" s="304">
        <f t="shared" si="35"/>
        <v>0.0828090144305627</v>
      </c>
      <c r="E108" s="305">
        <f t="shared" si="36"/>
        <v>0.01849153251471784</v>
      </c>
      <c r="F108" s="304">
        <v>0.125</v>
      </c>
      <c r="G108" s="305">
        <f t="shared" si="37"/>
        <v>0.00034246575342465754</v>
      </c>
      <c r="H108" s="305">
        <v>0.125</v>
      </c>
      <c r="I108" s="305">
        <f t="shared" si="38"/>
        <v>0.00034246575342465754</v>
      </c>
      <c r="J108" s="304">
        <v>0.125</v>
      </c>
      <c r="K108" s="305">
        <f t="shared" si="39"/>
        <v>0.00034246575342465754</v>
      </c>
      <c r="L108" s="305">
        <v>0.125</v>
      </c>
      <c r="M108" s="305">
        <f t="shared" si="40"/>
        <v>0.00034246575342465754</v>
      </c>
      <c r="N108" s="305">
        <v>0.5</v>
      </c>
      <c r="O108" s="305">
        <f t="shared" si="41"/>
        <v>0.0013698630136986301</v>
      </c>
    </row>
    <row r="109" spans="1:15" ht="12.75">
      <c r="A109" s="121" t="s">
        <v>363</v>
      </c>
      <c r="B109" s="236">
        <v>2.8031</v>
      </c>
      <c r="C109" s="236">
        <v>3.5892</v>
      </c>
      <c r="D109" s="304">
        <f t="shared" si="35"/>
        <v>0.08717128056949584</v>
      </c>
      <c r="E109" s="305">
        <f t="shared" si="36"/>
        <v>0.01911936939028408</v>
      </c>
      <c r="F109" s="304" t="s">
        <v>963</v>
      </c>
      <c r="G109" s="305" t="str">
        <f t="shared" si="37"/>
        <v>-</v>
      </c>
      <c r="H109" s="304" t="s">
        <v>963</v>
      </c>
      <c r="I109" s="305" t="str">
        <f t="shared" si="38"/>
        <v>-</v>
      </c>
      <c r="J109" s="304" t="s">
        <v>963</v>
      </c>
      <c r="K109" s="305" t="str">
        <f t="shared" si="39"/>
        <v>-</v>
      </c>
      <c r="L109" s="304" t="s">
        <v>963</v>
      </c>
      <c r="M109" s="305" t="str">
        <f t="shared" si="40"/>
        <v>-</v>
      </c>
      <c r="N109" s="304" t="s">
        <v>963</v>
      </c>
      <c r="O109" s="305" t="str">
        <f t="shared" si="41"/>
        <v>-</v>
      </c>
    </row>
    <row r="110" spans="1:15" ht="12.75">
      <c r="A110" s="121" t="s">
        <v>365</v>
      </c>
      <c r="B110" s="236">
        <v>2.8275</v>
      </c>
      <c r="C110" s="236">
        <v>3.6051</v>
      </c>
      <c r="D110" s="304">
        <f t="shared" si="35"/>
        <v>0.0831613690252704</v>
      </c>
      <c r="E110" s="305">
        <f t="shared" si="36"/>
        <v>0.018541564197937337</v>
      </c>
      <c r="F110" s="304" t="s">
        <v>963</v>
      </c>
      <c r="G110" s="305" t="str">
        <f t="shared" si="37"/>
        <v>-</v>
      </c>
      <c r="H110" s="304" t="s">
        <v>963</v>
      </c>
      <c r="I110" s="305" t="str">
        <f t="shared" si="38"/>
        <v>-</v>
      </c>
      <c r="J110" s="304" t="s">
        <v>963</v>
      </c>
      <c r="K110" s="305" t="str">
        <f t="shared" si="39"/>
        <v>-</v>
      </c>
      <c r="L110" s="304" t="s">
        <v>963</v>
      </c>
      <c r="M110" s="305" t="str">
        <f t="shared" si="40"/>
        <v>-</v>
      </c>
      <c r="N110" s="304" t="s">
        <v>963</v>
      </c>
      <c r="O110" s="305" t="str">
        <f t="shared" si="41"/>
        <v>-</v>
      </c>
    </row>
    <row r="111" spans="1:15" ht="12.75">
      <c r="A111" s="121" t="s">
        <v>366</v>
      </c>
      <c r="B111" s="236">
        <v>2.792</v>
      </c>
      <c r="C111" s="236">
        <v>3.5819</v>
      </c>
      <c r="D111" s="304">
        <f t="shared" si="35"/>
        <v>0.08905889793439108</v>
      </c>
      <c r="E111" s="305">
        <f t="shared" si="36"/>
        <v>0.019390648725505055</v>
      </c>
      <c r="F111" s="304" t="s">
        <v>963</v>
      </c>
      <c r="G111" s="305" t="str">
        <f t="shared" si="37"/>
        <v>-</v>
      </c>
      <c r="H111" s="304" t="s">
        <v>963</v>
      </c>
      <c r="I111" s="305" t="str">
        <f t="shared" si="38"/>
        <v>-</v>
      </c>
      <c r="J111" s="304" t="s">
        <v>963</v>
      </c>
      <c r="K111" s="305" t="str">
        <f t="shared" si="39"/>
        <v>-</v>
      </c>
      <c r="L111" s="304" t="s">
        <v>963</v>
      </c>
      <c r="M111" s="305" t="str">
        <f t="shared" si="40"/>
        <v>-</v>
      </c>
      <c r="N111" s="304" t="s">
        <v>963</v>
      </c>
      <c r="O111" s="305" t="str">
        <f t="shared" si="41"/>
        <v>-</v>
      </c>
    </row>
    <row r="112" spans="1:15" ht="13.5" thickBot="1">
      <c r="A112" s="124"/>
      <c r="B112" s="237"/>
      <c r="C112" s="237"/>
      <c r="D112" s="307"/>
      <c r="E112" s="308"/>
      <c r="F112" s="307"/>
      <c r="G112" s="308"/>
      <c r="H112" s="308"/>
      <c r="I112" s="308"/>
      <c r="J112" s="307"/>
      <c r="K112" s="308"/>
      <c r="L112" s="308"/>
      <c r="M112" s="308"/>
      <c r="N112" s="308"/>
      <c r="O112" s="308"/>
    </row>
    <row r="113" spans="1:15" ht="12.75">
      <c r="A113" s="154" t="s">
        <v>716</v>
      </c>
      <c r="B113" s="236"/>
      <c r="C113" s="236"/>
      <c r="D113" s="304"/>
      <c r="E113" s="305"/>
      <c r="F113" s="304"/>
      <c r="G113" s="305"/>
      <c r="H113" s="305"/>
      <c r="I113" s="305"/>
      <c r="J113" s="304"/>
      <c r="K113" s="305"/>
      <c r="L113" s="305"/>
      <c r="M113" s="305"/>
      <c r="N113" s="305"/>
      <c r="O113" s="305"/>
    </row>
    <row r="114" spans="1:15" ht="12.75">
      <c r="A114" s="121" t="s">
        <v>125</v>
      </c>
      <c r="B114" s="236">
        <v>2.7658</v>
      </c>
      <c r="C114" s="236">
        <v>3.5249</v>
      </c>
      <c r="D114" s="304">
        <f aca="true" t="shared" si="42" ref="D114:D121">EXP(8.87-1.93*$B114)/365</f>
        <v>0.09367805204865473</v>
      </c>
      <c r="E114" s="305">
        <f aca="true" t="shared" si="43" ref="E114:E121">EXP(8.87-1.93*$C114)/365</f>
        <v>0.021645572398894267</v>
      </c>
      <c r="F114" s="304">
        <v>74.6</v>
      </c>
      <c r="G114" s="305">
        <f aca="true" t="shared" si="44" ref="G114:G121">IF(ISNUMBER(F114),F114/365,"-")</f>
        <v>0.2043835616438356</v>
      </c>
      <c r="H114" s="305">
        <v>74.6</v>
      </c>
      <c r="I114" s="305">
        <f aca="true" t="shared" si="45" ref="I114:I121">IF(ISNUMBER(H114),H114/365,"-")</f>
        <v>0.2043835616438356</v>
      </c>
      <c r="J114" s="304">
        <v>368</v>
      </c>
      <c r="K114" s="305">
        <f aca="true" t="shared" si="46" ref="K114:K121">IF(ISNUMBER(J114),J114/365,"-")</f>
        <v>1.0082191780821919</v>
      </c>
      <c r="L114" s="305">
        <v>218</v>
      </c>
      <c r="M114" s="305">
        <f aca="true" t="shared" si="47" ref="M114:M121">IF(ISNUMBER(L114),L114/365,"-")</f>
        <v>0.5972602739726027</v>
      </c>
      <c r="N114" s="305">
        <v>334</v>
      </c>
      <c r="O114" s="305">
        <f aca="true" t="shared" si="48" ref="O114:O121">IF(ISNUMBER(N114),N114/365,"-")</f>
        <v>0.915068493150685</v>
      </c>
    </row>
    <row r="115" spans="1:15" ht="12.75">
      <c r="A115" s="121" t="s">
        <v>375</v>
      </c>
      <c r="B115" s="236">
        <v>2.4611</v>
      </c>
      <c r="C115" s="236">
        <v>3.305</v>
      </c>
      <c r="D115" s="304">
        <f t="shared" si="42"/>
        <v>0.168668445228986</v>
      </c>
      <c r="E115" s="305">
        <f t="shared" si="43"/>
        <v>0.03308923243559648</v>
      </c>
      <c r="F115" s="304">
        <v>222</v>
      </c>
      <c r="G115" s="305">
        <f t="shared" si="44"/>
        <v>0.6082191780821918</v>
      </c>
      <c r="H115" s="305">
        <v>222</v>
      </c>
      <c r="I115" s="305">
        <f t="shared" si="45"/>
        <v>0.6082191780821918</v>
      </c>
      <c r="J115" s="304">
        <v>211</v>
      </c>
      <c r="K115" s="305">
        <f t="shared" si="46"/>
        <v>0.5780821917808219</v>
      </c>
      <c r="L115" s="305">
        <v>211</v>
      </c>
      <c r="M115" s="305">
        <f t="shared" si="47"/>
        <v>0.5780821917808219</v>
      </c>
      <c r="N115" s="305">
        <v>379</v>
      </c>
      <c r="O115" s="305">
        <f t="shared" si="48"/>
        <v>1.0383561643835617</v>
      </c>
    </row>
    <row r="116" spans="1:15" ht="12.75">
      <c r="A116" s="121" t="s">
        <v>376</v>
      </c>
      <c r="B116" s="236">
        <v>2.1784</v>
      </c>
      <c r="C116" s="236">
        <v>3.0899</v>
      </c>
      <c r="D116" s="304">
        <f t="shared" si="42"/>
        <v>0.2910648007583357</v>
      </c>
      <c r="E116" s="305">
        <f t="shared" si="43"/>
        <v>0.050116531584050085</v>
      </c>
      <c r="F116" s="304">
        <v>70</v>
      </c>
      <c r="G116" s="305">
        <f t="shared" si="44"/>
        <v>0.1917808219178082</v>
      </c>
      <c r="H116" s="305">
        <v>70</v>
      </c>
      <c r="I116" s="305">
        <f t="shared" si="45"/>
        <v>0.1917808219178082</v>
      </c>
      <c r="J116" s="304">
        <v>393</v>
      </c>
      <c r="K116" s="305">
        <f t="shared" si="46"/>
        <v>1.0767123287671232</v>
      </c>
      <c r="L116" s="305">
        <v>211</v>
      </c>
      <c r="M116" s="305">
        <f t="shared" si="47"/>
        <v>0.5780821917808219</v>
      </c>
      <c r="N116" s="305">
        <v>379</v>
      </c>
      <c r="O116" s="305">
        <f t="shared" si="48"/>
        <v>1.0383561643835617</v>
      </c>
    </row>
    <row r="117" spans="1:15" ht="12.75">
      <c r="A117" s="121" t="s">
        <v>452</v>
      </c>
      <c r="B117" s="236">
        <v>1.3302</v>
      </c>
      <c r="C117" s="236">
        <v>2.4448</v>
      </c>
      <c r="D117" s="304">
        <f t="shared" si="42"/>
        <v>1.4960325635847744</v>
      </c>
      <c r="E117" s="305">
        <f t="shared" si="43"/>
        <v>0.17405893093342562</v>
      </c>
      <c r="F117" s="304">
        <v>466</v>
      </c>
      <c r="G117" s="305">
        <f t="shared" si="44"/>
        <v>1.2767123287671234</v>
      </c>
      <c r="H117" s="305">
        <v>466</v>
      </c>
      <c r="I117" s="305">
        <f t="shared" si="45"/>
        <v>1.2767123287671234</v>
      </c>
      <c r="J117" s="304">
        <v>5150</v>
      </c>
      <c r="K117" s="305">
        <f t="shared" si="46"/>
        <v>14.10958904109589</v>
      </c>
      <c r="L117" s="305">
        <v>3050</v>
      </c>
      <c r="M117" s="305">
        <f t="shared" si="47"/>
        <v>8.356164383561644</v>
      </c>
      <c r="N117" s="305">
        <v>4670</v>
      </c>
      <c r="O117" s="305">
        <f t="shared" si="48"/>
        <v>12.794520547945206</v>
      </c>
    </row>
    <row r="118" spans="1:15" ht="12.75">
      <c r="A118" s="187" t="s">
        <v>378</v>
      </c>
      <c r="B118" s="236">
        <v>2.7649</v>
      </c>
      <c r="C118" s="236">
        <v>3.5366</v>
      </c>
      <c r="D118" s="304">
        <f t="shared" si="42"/>
        <v>0.09384091222818114</v>
      </c>
      <c r="E118" s="305">
        <f t="shared" si="43"/>
        <v>0.021162270979402775</v>
      </c>
      <c r="F118" s="304">
        <v>3.5</v>
      </c>
      <c r="G118" s="305">
        <f t="shared" si="44"/>
        <v>0.009589041095890411</v>
      </c>
      <c r="H118" s="305">
        <v>3.5</v>
      </c>
      <c r="I118" s="305">
        <f t="shared" si="45"/>
        <v>0.009589041095890411</v>
      </c>
      <c r="J118" s="304">
        <v>3.5</v>
      </c>
      <c r="K118" s="305">
        <f t="shared" si="46"/>
        <v>0.009589041095890411</v>
      </c>
      <c r="L118" s="305">
        <v>3.5</v>
      </c>
      <c r="M118" s="305">
        <f t="shared" si="47"/>
        <v>0.009589041095890411</v>
      </c>
      <c r="N118" s="305">
        <v>24.4</v>
      </c>
      <c r="O118" s="305">
        <f t="shared" si="48"/>
        <v>0.06684931506849315</v>
      </c>
    </row>
    <row r="119" spans="1:15" ht="12.75">
      <c r="A119" s="187" t="s">
        <v>379</v>
      </c>
      <c r="B119" s="236">
        <v>2.4821</v>
      </c>
      <c r="C119" s="236">
        <v>3.3216</v>
      </c>
      <c r="D119" s="304">
        <f t="shared" si="42"/>
        <v>0.16196899457456262</v>
      </c>
      <c r="E119" s="305">
        <f t="shared" si="43"/>
        <v>0.03204592164166384</v>
      </c>
      <c r="F119" s="304">
        <v>70.8</v>
      </c>
      <c r="G119" s="305">
        <f t="shared" si="44"/>
        <v>0.19397260273972602</v>
      </c>
      <c r="H119" s="305">
        <v>5.54</v>
      </c>
      <c r="I119" s="305">
        <f t="shared" si="45"/>
        <v>0.015178082191780823</v>
      </c>
      <c r="J119" s="304">
        <v>5.54</v>
      </c>
      <c r="K119" s="305">
        <f t="shared" si="46"/>
        <v>0.015178082191780823</v>
      </c>
      <c r="L119" s="305">
        <v>24.3</v>
      </c>
      <c r="M119" s="305">
        <f t="shared" si="47"/>
        <v>0.06657534246575343</v>
      </c>
      <c r="N119" s="305">
        <v>70.8</v>
      </c>
      <c r="O119" s="305">
        <f t="shared" si="48"/>
        <v>0.19397260273972602</v>
      </c>
    </row>
    <row r="120" spans="1:15" ht="12.75">
      <c r="A120" s="187" t="s">
        <v>380</v>
      </c>
      <c r="B120" s="236">
        <v>2.1994</v>
      </c>
      <c r="C120" s="236">
        <v>3.1065</v>
      </c>
      <c r="D120" s="304">
        <f t="shared" si="42"/>
        <v>0.2795038103948285</v>
      </c>
      <c r="E120" s="305">
        <f t="shared" si="43"/>
        <v>0.048536346293929646</v>
      </c>
      <c r="F120" s="304">
        <v>70.8</v>
      </c>
      <c r="G120" s="305">
        <f t="shared" si="44"/>
        <v>0.19397260273972602</v>
      </c>
      <c r="H120" s="305">
        <v>38.5</v>
      </c>
      <c r="I120" s="305">
        <f t="shared" si="45"/>
        <v>0.10547945205479452</v>
      </c>
      <c r="J120" s="304">
        <v>38.5</v>
      </c>
      <c r="K120" s="305">
        <f t="shared" si="46"/>
        <v>0.10547945205479452</v>
      </c>
      <c r="L120" s="305">
        <v>917</v>
      </c>
      <c r="M120" s="305">
        <f t="shared" si="47"/>
        <v>2.5123287671232877</v>
      </c>
      <c r="N120" s="305">
        <v>229</v>
      </c>
      <c r="O120" s="305">
        <f t="shared" si="48"/>
        <v>0.6273972602739726</v>
      </c>
    </row>
    <row r="121" spans="1:15" ht="12.75">
      <c r="A121" s="187" t="s">
        <v>711</v>
      </c>
      <c r="B121" s="236">
        <v>1.634</v>
      </c>
      <c r="C121" s="236">
        <v>2.6765</v>
      </c>
      <c r="D121" s="304">
        <f t="shared" si="42"/>
        <v>0.8323374315762858</v>
      </c>
      <c r="E121" s="305">
        <f t="shared" si="43"/>
        <v>0.11129818216509493</v>
      </c>
      <c r="F121" s="304">
        <v>48</v>
      </c>
      <c r="G121" s="305">
        <f t="shared" si="44"/>
        <v>0.13150684931506848</v>
      </c>
      <c r="H121" s="305">
        <v>101</v>
      </c>
      <c r="I121" s="305">
        <f t="shared" si="45"/>
        <v>0.27671232876712326</v>
      </c>
      <c r="J121" s="304">
        <v>101</v>
      </c>
      <c r="K121" s="305">
        <f t="shared" si="46"/>
        <v>0.27671232876712326</v>
      </c>
      <c r="L121" s="305">
        <v>783</v>
      </c>
      <c r="M121" s="305">
        <f t="shared" si="47"/>
        <v>2.1452054794520548</v>
      </c>
      <c r="N121" s="305">
        <v>229</v>
      </c>
      <c r="O121" s="305">
        <f t="shared" si="48"/>
        <v>0.6273972602739726</v>
      </c>
    </row>
    <row r="122" spans="1:15" ht="13.5" thickBot="1">
      <c r="A122" s="124"/>
      <c r="B122" s="237"/>
      <c r="C122" s="237"/>
      <c r="D122" s="307"/>
      <c r="E122" s="308"/>
      <c r="F122" s="307"/>
      <c r="G122" s="308"/>
      <c r="H122" s="308"/>
      <c r="I122" s="308"/>
      <c r="J122" s="307"/>
      <c r="K122" s="308"/>
      <c r="L122" s="308"/>
      <c r="M122" s="308"/>
      <c r="N122" s="308"/>
      <c r="O122" s="308"/>
    </row>
    <row r="123" spans="1:15" ht="12.75">
      <c r="A123" s="154" t="s">
        <v>355</v>
      </c>
      <c r="B123" s="236"/>
      <c r="C123" s="236"/>
      <c r="D123" s="304"/>
      <c r="E123" s="305"/>
      <c r="F123" s="304"/>
      <c r="G123" s="305"/>
      <c r="H123" s="305"/>
      <c r="I123" s="305"/>
      <c r="J123" s="304"/>
      <c r="K123" s="305"/>
      <c r="L123" s="305"/>
      <c r="M123" s="305"/>
      <c r="N123" s="305"/>
      <c r="O123" s="305"/>
    </row>
    <row r="124" spans="1:15" ht="12.75">
      <c r="A124" s="121" t="s">
        <v>356</v>
      </c>
      <c r="B124" s="236">
        <v>2.7795</v>
      </c>
      <c r="C124" s="236">
        <v>3.5666</v>
      </c>
      <c r="D124" s="304">
        <f aca="true" t="shared" si="49" ref="D124:D136">EXP(8.87-1.93*$B124)/365</f>
        <v>0.09123357035976816</v>
      </c>
      <c r="E124" s="305">
        <f aca="true" t="shared" si="50" ref="E124:E136">EXP(8.87-1.93*$C124)/365</f>
        <v>0.019971772974798636</v>
      </c>
      <c r="F124" s="304">
        <v>61.4</v>
      </c>
      <c r="G124" s="305">
        <f aca="true" t="shared" si="51" ref="G124:G136">IF(ISNUMBER(F124),F124/365,"-")</f>
        <v>0.16821917808219178</v>
      </c>
      <c r="H124" s="305">
        <v>61.4</v>
      </c>
      <c r="I124" s="305">
        <f aca="true" t="shared" si="52" ref="I124:I136">IF(ISNUMBER(H124),H124/365,"-")</f>
        <v>0.16821917808219178</v>
      </c>
      <c r="J124" s="304">
        <v>196</v>
      </c>
      <c r="K124" s="305">
        <f aca="true" t="shared" si="53" ref="K124:K136">IF(ISNUMBER(J124),J124/365,"-")</f>
        <v>0.536986301369863</v>
      </c>
      <c r="L124" s="305">
        <v>196</v>
      </c>
      <c r="M124" s="305">
        <f aca="true" t="shared" si="54" ref="M124:M136">IF(ISNUMBER(L124),L124/365,"-")</f>
        <v>0.536986301369863</v>
      </c>
      <c r="N124" s="305">
        <v>99.5</v>
      </c>
      <c r="O124" s="305">
        <f aca="true" t="shared" si="55" ref="O124:O136">IF(ISNUMBER(N124),N124/365,"-")</f>
        <v>0.2726027397260274</v>
      </c>
    </row>
    <row r="125" spans="1:15" ht="12.75">
      <c r="A125" s="121" t="s">
        <v>491</v>
      </c>
      <c r="B125" s="236">
        <v>2.4885</v>
      </c>
      <c r="C125" s="236">
        <v>3.3884</v>
      </c>
      <c r="D125" s="304">
        <f t="shared" si="49"/>
        <v>0.15998065879563186</v>
      </c>
      <c r="E125" s="305">
        <f t="shared" si="50"/>
        <v>0.028169671638628914</v>
      </c>
      <c r="F125" s="304">
        <v>37.5</v>
      </c>
      <c r="G125" s="305">
        <f t="shared" si="51"/>
        <v>0.10273972602739725</v>
      </c>
      <c r="H125" s="305">
        <v>37.5</v>
      </c>
      <c r="I125" s="305">
        <f t="shared" si="52"/>
        <v>0.10273972602739725</v>
      </c>
      <c r="J125" s="304">
        <v>37.5</v>
      </c>
      <c r="K125" s="305">
        <f t="shared" si="53"/>
        <v>0.10273972602739725</v>
      </c>
      <c r="L125" s="305">
        <v>37.5</v>
      </c>
      <c r="M125" s="305">
        <f t="shared" si="54"/>
        <v>0.10273972602739725</v>
      </c>
      <c r="N125" s="305">
        <v>150</v>
      </c>
      <c r="O125" s="305">
        <f t="shared" si="55"/>
        <v>0.410958904109589</v>
      </c>
    </row>
    <row r="126" spans="1:15" ht="12.75">
      <c r="A126" s="121" t="s">
        <v>490</v>
      </c>
      <c r="B126" s="236">
        <v>2.2195</v>
      </c>
      <c r="C126" s="236">
        <v>3.2151</v>
      </c>
      <c r="D126" s="304">
        <f t="shared" si="49"/>
        <v>0.26886863790440524</v>
      </c>
      <c r="E126" s="305">
        <f t="shared" si="50"/>
        <v>0.03935861664687607</v>
      </c>
      <c r="F126" s="304" t="s">
        <v>963</v>
      </c>
      <c r="G126" s="305" t="str">
        <f t="shared" si="51"/>
        <v>-</v>
      </c>
      <c r="H126" s="304" t="s">
        <v>963</v>
      </c>
      <c r="I126" s="305" t="str">
        <f t="shared" si="52"/>
        <v>-</v>
      </c>
      <c r="J126" s="304" t="s">
        <v>963</v>
      </c>
      <c r="K126" s="305" t="str">
        <f t="shared" si="53"/>
        <v>-</v>
      </c>
      <c r="L126" s="304" t="s">
        <v>963</v>
      </c>
      <c r="M126" s="305" t="str">
        <f t="shared" si="54"/>
        <v>-</v>
      </c>
      <c r="N126" s="304" t="s">
        <v>963</v>
      </c>
      <c r="O126" s="305" t="str">
        <f t="shared" si="55"/>
        <v>-</v>
      </c>
    </row>
    <row r="127" spans="1:15" ht="12.75">
      <c r="A127" s="121" t="s">
        <v>406</v>
      </c>
      <c r="B127" s="236">
        <v>2.6517</v>
      </c>
      <c r="C127" s="236">
        <v>3.473</v>
      </c>
      <c r="D127" s="304">
        <f t="shared" si="49"/>
        <v>0.11675490697142847</v>
      </c>
      <c r="E127" s="305">
        <f t="shared" si="50"/>
        <v>0.023926052437497687</v>
      </c>
      <c r="F127" s="304">
        <v>70.8</v>
      </c>
      <c r="G127" s="305">
        <f t="shared" si="51"/>
        <v>0.19397260273972602</v>
      </c>
      <c r="H127" s="305">
        <v>70.8</v>
      </c>
      <c r="I127" s="305">
        <f t="shared" si="52"/>
        <v>0.19397260273972602</v>
      </c>
      <c r="J127" s="304">
        <v>70.8</v>
      </c>
      <c r="K127" s="305">
        <f t="shared" si="53"/>
        <v>0.19397260273972602</v>
      </c>
      <c r="L127" s="305">
        <v>70.8</v>
      </c>
      <c r="M127" s="305">
        <f t="shared" si="54"/>
        <v>0.19397260273972602</v>
      </c>
      <c r="N127" s="305">
        <v>229</v>
      </c>
      <c r="O127" s="305">
        <f t="shared" si="55"/>
        <v>0.6273972602739726</v>
      </c>
    </row>
    <row r="128" spans="1:15" ht="12.75">
      <c r="A128" s="121" t="s">
        <v>480</v>
      </c>
      <c r="B128" s="236">
        <v>2.6517</v>
      </c>
      <c r="C128" s="236">
        <v>3.473</v>
      </c>
      <c r="D128" s="304">
        <f t="shared" si="49"/>
        <v>0.11675490697142847</v>
      </c>
      <c r="E128" s="305">
        <f t="shared" si="50"/>
        <v>0.023926052437497687</v>
      </c>
      <c r="F128" s="304" t="s">
        <v>963</v>
      </c>
      <c r="G128" s="305" t="str">
        <f t="shared" si="51"/>
        <v>-</v>
      </c>
      <c r="H128" s="304" t="s">
        <v>963</v>
      </c>
      <c r="I128" s="305" t="str">
        <f t="shared" si="52"/>
        <v>-</v>
      </c>
      <c r="J128" s="304" t="s">
        <v>963</v>
      </c>
      <c r="K128" s="305" t="str">
        <f t="shared" si="53"/>
        <v>-</v>
      </c>
      <c r="L128" s="304" t="s">
        <v>963</v>
      </c>
      <c r="M128" s="305" t="str">
        <f t="shared" si="54"/>
        <v>-</v>
      </c>
      <c r="N128" s="304" t="s">
        <v>963</v>
      </c>
      <c r="O128" s="305" t="str">
        <f t="shared" si="55"/>
        <v>-</v>
      </c>
    </row>
    <row r="129" spans="1:15" ht="12.75">
      <c r="A129" s="121" t="s">
        <v>481</v>
      </c>
      <c r="B129" s="236">
        <v>2.6517</v>
      </c>
      <c r="C129" s="236">
        <v>3.473</v>
      </c>
      <c r="D129" s="304">
        <f t="shared" si="49"/>
        <v>0.11675490697142847</v>
      </c>
      <c r="E129" s="305">
        <f t="shared" si="50"/>
        <v>0.023926052437497687</v>
      </c>
      <c r="F129" s="304" t="s">
        <v>963</v>
      </c>
      <c r="G129" s="305" t="str">
        <f t="shared" si="51"/>
        <v>-</v>
      </c>
      <c r="H129" s="304" t="s">
        <v>963</v>
      </c>
      <c r="I129" s="305" t="str">
        <f t="shared" si="52"/>
        <v>-</v>
      </c>
      <c r="J129" s="304" t="s">
        <v>963</v>
      </c>
      <c r="K129" s="305" t="str">
        <f t="shared" si="53"/>
        <v>-</v>
      </c>
      <c r="L129" s="304" t="s">
        <v>963</v>
      </c>
      <c r="M129" s="305" t="str">
        <f t="shared" si="54"/>
        <v>-</v>
      </c>
      <c r="N129" s="304" t="s">
        <v>963</v>
      </c>
      <c r="O129" s="305" t="str">
        <f t="shared" si="55"/>
        <v>-</v>
      </c>
    </row>
    <row r="130" spans="1:15" ht="12.75">
      <c r="A130" s="121" t="s">
        <v>496</v>
      </c>
      <c r="B130" s="236">
        <v>2.3826</v>
      </c>
      <c r="C130" s="236">
        <v>3.2997</v>
      </c>
      <c r="D130" s="304">
        <f t="shared" si="49"/>
        <v>0.19625992436559042</v>
      </c>
      <c r="E130" s="305">
        <f t="shared" si="50"/>
        <v>0.03342943921537174</v>
      </c>
      <c r="F130" s="304">
        <v>104</v>
      </c>
      <c r="G130" s="305">
        <f t="shared" si="51"/>
        <v>0.28493150684931506</v>
      </c>
      <c r="H130" s="305">
        <v>104</v>
      </c>
      <c r="I130" s="305">
        <f t="shared" si="52"/>
        <v>0.28493150684931506</v>
      </c>
      <c r="J130" s="304">
        <v>184</v>
      </c>
      <c r="K130" s="305">
        <f t="shared" si="53"/>
        <v>0.5041095890410959</v>
      </c>
      <c r="L130" s="305">
        <v>184</v>
      </c>
      <c r="M130" s="305">
        <f t="shared" si="54"/>
        <v>0.5041095890410959</v>
      </c>
      <c r="N130" s="305">
        <v>91</v>
      </c>
      <c r="O130" s="305">
        <f t="shared" si="55"/>
        <v>0.2493150684931507</v>
      </c>
    </row>
    <row r="131" spans="1:15" ht="12.75">
      <c r="A131" s="121" t="s">
        <v>495</v>
      </c>
      <c r="B131" s="236">
        <v>2.3826</v>
      </c>
      <c r="C131" s="236">
        <v>3.2997</v>
      </c>
      <c r="D131" s="304">
        <f t="shared" si="49"/>
        <v>0.19625992436559042</v>
      </c>
      <c r="E131" s="305">
        <f t="shared" si="50"/>
        <v>0.03342943921537174</v>
      </c>
      <c r="F131" s="304">
        <v>104</v>
      </c>
      <c r="G131" s="305">
        <f t="shared" si="51"/>
        <v>0.28493150684931506</v>
      </c>
      <c r="H131" s="305">
        <v>104</v>
      </c>
      <c r="I131" s="305">
        <f t="shared" si="52"/>
        <v>0.28493150684931506</v>
      </c>
      <c r="J131" s="304">
        <v>184</v>
      </c>
      <c r="K131" s="305">
        <f t="shared" si="53"/>
        <v>0.5041095890410959</v>
      </c>
      <c r="L131" s="305">
        <v>184</v>
      </c>
      <c r="M131" s="305">
        <f t="shared" si="54"/>
        <v>0.5041095890410959</v>
      </c>
      <c r="N131" s="305">
        <v>91</v>
      </c>
      <c r="O131" s="305">
        <f t="shared" si="55"/>
        <v>0.2493150684931507</v>
      </c>
    </row>
    <row r="132" spans="1:15" ht="12.75">
      <c r="A132" s="121" t="s">
        <v>377</v>
      </c>
      <c r="B132" s="236">
        <v>2.3826</v>
      </c>
      <c r="C132" s="236">
        <v>3.2997</v>
      </c>
      <c r="D132" s="304">
        <f t="shared" si="49"/>
        <v>0.19625992436559042</v>
      </c>
      <c r="E132" s="305">
        <f t="shared" si="50"/>
        <v>0.03342943921537174</v>
      </c>
      <c r="F132" s="304" t="s">
        <v>963</v>
      </c>
      <c r="G132" s="305" t="str">
        <f t="shared" si="51"/>
        <v>-</v>
      </c>
      <c r="H132" s="304" t="s">
        <v>963</v>
      </c>
      <c r="I132" s="305" t="str">
        <f t="shared" si="52"/>
        <v>-</v>
      </c>
      <c r="J132" s="304" t="s">
        <v>963</v>
      </c>
      <c r="K132" s="305" t="str">
        <f t="shared" si="53"/>
        <v>-</v>
      </c>
      <c r="L132" s="304" t="s">
        <v>963</v>
      </c>
      <c r="M132" s="305" t="str">
        <f t="shared" si="54"/>
        <v>-</v>
      </c>
      <c r="N132" s="304" t="s">
        <v>963</v>
      </c>
      <c r="O132" s="305" t="str">
        <f t="shared" si="55"/>
        <v>-</v>
      </c>
    </row>
    <row r="133" spans="1:15" ht="12.75">
      <c r="A133" s="121" t="s">
        <v>692</v>
      </c>
      <c r="B133" s="236">
        <v>2.1136</v>
      </c>
      <c r="C133" s="236">
        <v>3.1264</v>
      </c>
      <c r="D133" s="304">
        <f t="shared" si="49"/>
        <v>0.32984073785323526</v>
      </c>
      <c r="E133" s="305">
        <f t="shared" si="50"/>
        <v>0.046707554836869336</v>
      </c>
      <c r="F133" s="304" t="s">
        <v>963</v>
      </c>
      <c r="G133" s="305" t="str">
        <f t="shared" si="51"/>
        <v>-</v>
      </c>
      <c r="H133" s="304" t="s">
        <v>963</v>
      </c>
      <c r="I133" s="305" t="str">
        <f t="shared" si="52"/>
        <v>-</v>
      </c>
      <c r="J133" s="304" t="s">
        <v>963</v>
      </c>
      <c r="K133" s="305" t="str">
        <f t="shared" si="53"/>
        <v>-</v>
      </c>
      <c r="L133" s="304" t="s">
        <v>963</v>
      </c>
      <c r="M133" s="305" t="str">
        <f t="shared" si="54"/>
        <v>-</v>
      </c>
      <c r="N133" s="304" t="s">
        <v>963</v>
      </c>
      <c r="O133" s="305" t="str">
        <f t="shared" si="55"/>
        <v>-</v>
      </c>
    </row>
    <row r="134" spans="1:15" ht="12.75">
      <c r="A134" s="121" t="s">
        <v>493</v>
      </c>
      <c r="B134" s="236">
        <v>2.7785</v>
      </c>
      <c r="C134" s="236">
        <v>3.5783</v>
      </c>
      <c r="D134" s="304">
        <f t="shared" si="49"/>
        <v>0.09140982117789224</v>
      </c>
      <c r="E134" s="305">
        <f t="shared" si="50"/>
        <v>0.019525844077627284</v>
      </c>
      <c r="F134" s="304" t="s">
        <v>963</v>
      </c>
      <c r="G134" s="305" t="str">
        <f t="shared" si="51"/>
        <v>-</v>
      </c>
      <c r="H134" s="304" t="s">
        <v>963</v>
      </c>
      <c r="I134" s="305" t="str">
        <f t="shared" si="52"/>
        <v>-</v>
      </c>
      <c r="J134" s="304" t="s">
        <v>963</v>
      </c>
      <c r="K134" s="305" t="str">
        <f t="shared" si="53"/>
        <v>-</v>
      </c>
      <c r="L134" s="304" t="s">
        <v>963</v>
      </c>
      <c r="M134" s="305" t="str">
        <f t="shared" si="54"/>
        <v>-</v>
      </c>
      <c r="N134" s="304" t="s">
        <v>963</v>
      </c>
      <c r="O134" s="305" t="str">
        <f t="shared" si="55"/>
        <v>-</v>
      </c>
    </row>
    <row r="135" spans="1:15" ht="12.75">
      <c r="A135" s="121" t="s">
        <v>741</v>
      </c>
      <c r="B135" s="236">
        <v>2.2405</v>
      </c>
      <c r="C135" s="236">
        <v>3.2317</v>
      </c>
      <c r="D135" s="304">
        <f t="shared" si="49"/>
        <v>0.25818927123497776</v>
      </c>
      <c r="E135" s="305">
        <f t="shared" si="50"/>
        <v>0.03811763078654018</v>
      </c>
      <c r="F135" s="304">
        <v>104</v>
      </c>
      <c r="G135" s="305">
        <f t="shared" si="51"/>
        <v>0.28493150684931506</v>
      </c>
      <c r="H135" s="305">
        <v>104</v>
      </c>
      <c r="I135" s="305">
        <f t="shared" si="52"/>
        <v>0.28493150684931506</v>
      </c>
      <c r="J135" s="304">
        <v>104</v>
      </c>
      <c r="K135" s="305">
        <f t="shared" si="53"/>
        <v>0.28493150684931506</v>
      </c>
      <c r="L135" s="305">
        <v>181</v>
      </c>
      <c r="M135" s="305">
        <f t="shared" si="54"/>
        <v>0.4958904109589041</v>
      </c>
      <c r="N135" s="305">
        <v>55.6</v>
      </c>
      <c r="O135" s="305">
        <f t="shared" si="55"/>
        <v>0.15232876712328766</v>
      </c>
    </row>
    <row r="136" spans="1:15" ht="12.75">
      <c r="A136" s="121" t="s">
        <v>482</v>
      </c>
      <c r="B136" s="236">
        <v>2.2145</v>
      </c>
      <c r="C136" s="236">
        <v>3.1696</v>
      </c>
      <c r="D136" s="304">
        <f t="shared" si="49"/>
        <v>0.2714757794863855</v>
      </c>
      <c r="E136" s="305">
        <f t="shared" si="50"/>
        <v>0.042971191472037755</v>
      </c>
      <c r="F136" s="304" t="s">
        <v>963</v>
      </c>
      <c r="G136" s="305" t="str">
        <f t="shared" si="51"/>
        <v>-</v>
      </c>
      <c r="H136" s="304" t="s">
        <v>963</v>
      </c>
      <c r="I136" s="305" t="str">
        <f t="shared" si="52"/>
        <v>-</v>
      </c>
      <c r="J136" s="304" t="s">
        <v>963</v>
      </c>
      <c r="K136" s="305" t="str">
        <f t="shared" si="53"/>
        <v>-</v>
      </c>
      <c r="L136" s="304" t="s">
        <v>963</v>
      </c>
      <c r="M136" s="305" t="str">
        <f t="shared" si="54"/>
        <v>-</v>
      </c>
      <c r="N136" s="304" t="s">
        <v>963</v>
      </c>
      <c r="O136" s="305" t="str">
        <f t="shared" si="55"/>
        <v>-</v>
      </c>
    </row>
    <row r="137" spans="1:15" ht="13.5" thickBot="1">
      <c r="A137" s="124"/>
      <c r="B137" s="237"/>
      <c r="C137" s="237"/>
      <c r="D137" s="307"/>
      <c r="E137" s="308"/>
      <c r="F137" s="307"/>
      <c r="G137" s="308"/>
      <c r="H137" s="308"/>
      <c r="I137" s="308"/>
      <c r="J137" s="307"/>
      <c r="K137" s="308"/>
      <c r="L137" s="308"/>
      <c r="M137" s="308"/>
      <c r="N137" s="308"/>
      <c r="O137" s="308"/>
    </row>
    <row r="138" spans="1:15" ht="12.75">
      <c r="A138" s="154" t="s">
        <v>188</v>
      </c>
      <c r="B138" s="236"/>
      <c r="C138" s="236"/>
      <c r="D138" s="304"/>
      <c r="E138" s="305"/>
      <c r="F138" s="304"/>
      <c r="G138" s="305"/>
      <c r="H138" s="305"/>
      <c r="I138" s="305"/>
      <c r="J138" s="304"/>
      <c r="K138" s="305"/>
      <c r="L138" s="305"/>
      <c r="M138" s="305"/>
      <c r="N138" s="305"/>
      <c r="O138" s="305"/>
    </row>
    <row r="139" spans="1:15" ht="12.75">
      <c r="A139" s="187" t="s">
        <v>128</v>
      </c>
      <c r="B139" s="236">
        <v>3.0696</v>
      </c>
      <c r="C139" s="236">
        <v>3.7565</v>
      </c>
      <c r="D139" s="304">
        <f>EXP(8.87-1.93*$B139)/365</f>
        <v>0.05211901875345015</v>
      </c>
      <c r="E139" s="305">
        <f>EXP(8.87-1.93*$C139)/365</f>
        <v>0.013843460089358342</v>
      </c>
      <c r="F139" s="304">
        <v>10</v>
      </c>
      <c r="G139" s="305">
        <f>IF(ISNUMBER(F139),F139/365,"-")</f>
        <v>0.0273972602739726</v>
      </c>
      <c r="H139" s="305">
        <v>1.88</v>
      </c>
      <c r="I139" s="305">
        <f>IF(ISNUMBER(H139),H139/365,"-")</f>
        <v>0.005150684931506849</v>
      </c>
      <c r="J139" s="304">
        <v>1.88</v>
      </c>
      <c r="K139" s="305">
        <f>IF(ISNUMBER(J139),J139/365,"-")</f>
        <v>0.005150684931506849</v>
      </c>
      <c r="L139" s="305">
        <v>3.75</v>
      </c>
      <c r="M139" s="305">
        <f>IF(ISNUMBER(L139),L139/365,"-")</f>
        <v>0.010273972602739725</v>
      </c>
      <c r="N139" s="305">
        <v>22.9</v>
      </c>
      <c r="O139" s="305">
        <f>IF(ISNUMBER(N139),N139/365,"-")</f>
        <v>0.06273972602739726</v>
      </c>
    </row>
    <row r="140" spans="1:15" ht="12.75">
      <c r="A140" s="187" t="s">
        <v>396</v>
      </c>
      <c r="B140" s="236">
        <v>2.9417</v>
      </c>
      <c r="C140" s="236">
        <v>3.6629</v>
      </c>
      <c r="D140" s="304">
        <f>EXP(8.87-1.93*$B140)/365</f>
        <v>0.06671147155065425</v>
      </c>
      <c r="E140" s="305">
        <f>EXP(8.87-1.93*$C140)/365</f>
        <v>0.016584373977830746</v>
      </c>
      <c r="F140" s="304" t="s">
        <v>963</v>
      </c>
      <c r="G140" s="305" t="str">
        <f>IF(ISNUMBER(F140),F140/365,"-")</f>
        <v>-</v>
      </c>
      <c r="H140" s="304" t="s">
        <v>963</v>
      </c>
      <c r="I140" s="305" t="str">
        <f>IF(ISNUMBER(H140),H140/365,"-")</f>
        <v>-</v>
      </c>
      <c r="J140" s="304" t="s">
        <v>963</v>
      </c>
      <c r="K140" s="305" t="str">
        <f>IF(ISNUMBER(J140),J140/365,"-")</f>
        <v>-</v>
      </c>
      <c r="L140" s="304" t="s">
        <v>963</v>
      </c>
      <c r="M140" s="305" t="str">
        <f>IF(ISNUMBER(L140),L140/365,"-")</f>
        <v>-</v>
      </c>
      <c r="N140" s="304" t="s">
        <v>963</v>
      </c>
      <c r="O140" s="305" t="str">
        <f>IF(ISNUMBER(N140),N140/365,"-")</f>
        <v>-</v>
      </c>
    </row>
    <row r="141" spans="1:15" ht="12.75">
      <c r="A141" s="187" t="s">
        <v>450</v>
      </c>
      <c r="B141" s="236">
        <v>2.6937</v>
      </c>
      <c r="C141" s="236">
        <v>3.501</v>
      </c>
      <c r="D141" s="304">
        <f>EXP(8.87-1.93*$B141)/365</f>
        <v>0.10766417860973745</v>
      </c>
      <c r="E141" s="305">
        <f>EXP(8.87-1.93*$C141)/365</f>
        <v>0.022667403546854873</v>
      </c>
      <c r="F141" s="304" t="s">
        <v>963</v>
      </c>
      <c r="G141" s="305" t="str">
        <f>IF(ISNUMBER(F141),F141/365,"-")</f>
        <v>-</v>
      </c>
      <c r="H141" s="304" t="s">
        <v>963</v>
      </c>
      <c r="I141" s="305" t="str">
        <f>IF(ISNUMBER(H141),H141/365,"-")</f>
        <v>-</v>
      </c>
      <c r="J141" s="304" t="s">
        <v>963</v>
      </c>
      <c r="K141" s="305" t="str">
        <f>IF(ISNUMBER(J141),J141/365,"-")</f>
        <v>-</v>
      </c>
      <c r="L141" s="304" t="s">
        <v>963</v>
      </c>
      <c r="M141" s="305" t="str">
        <f>IF(ISNUMBER(L141),L141/365,"-")</f>
        <v>-</v>
      </c>
      <c r="N141" s="304" t="s">
        <v>963</v>
      </c>
      <c r="O141" s="305" t="str">
        <f>IF(ISNUMBER(N141),N141/365,"-")</f>
        <v>-</v>
      </c>
    </row>
    <row r="142" spans="1:15" ht="13.5" thickBot="1">
      <c r="A142" s="306"/>
      <c r="B142" s="237"/>
      <c r="C142" s="237"/>
      <c r="D142" s="307"/>
      <c r="E142" s="308"/>
      <c r="F142" s="307"/>
      <c r="G142" s="308"/>
      <c r="H142" s="308"/>
      <c r="I142" s="308"/>
      <c r="J142" s="307"/>
      <c r="K142" s="308"/>
      <c r="L142" s="308"/>
      <c r="M142" s="308"/>
      <c r="N142" s="308"/>
      <c r="O142" s="308"/>
    </row>
    <row r="143" spans="1:15" ht="12.75">
      <c r="A143" s="154" t="s">
        <v>717</v>
      </c>
      <c r="B143" s="236"/>
      <c r="C143" s="236"/>
      <c r="D143" s="304"/>
      <c r="E143" s="305"/>
      <c r="F143" s="304"/>
      <c r="G143" s="305"/>
      <c r="H143" s="305"/>
      <c r="I143" s="305"/>
      <c r="J143" s="304"/>
      <c r="K143" s="305"/>
      <c r="L143" s="305"/>
      <c r="M143" s="305"/>
      <c r="N143" s="305"/>
      <c r="O143" s="305"/>
    </row>
    <row r="144" spans="1:15" ht="12.75">
      <c r="A144" s="187" t="s">
        <v>381</v>
      </c>
      <c r="B144" s="236">
        <v>1.4448</v>
      </c>
      <c r="C144" s="236">
        <v>2.5501</v>
      </c>
      <c r="D144" s="304">
        <f>EXP(8.87-1.93*$B144)/365</f>
        <v>1.1991807873045264</v>
      </c>
      <c r="E144" s="305">
        <f>EXP(8.87-1.93*$C144)/365</f>
        <v>0.14204798533326346</v>
      </c>
      <c r="F144" s="304" t="s">
        <v>963</v>
      </c>
      <c r="G144" s="305" t="str">
        <f>IF(ISNUMBER(F144),F144/365,"-")</f>
        <v>-</v>
      </c>
      <c r="H144" s="304" t="s">
        <v>963</v>
      </c>
      <c r="I144" s="305" t="str">
        <f>IF(ISNUMBER(H144),H144/365,"-")</f>
        <v>-</v>
      </c>
      <c r="J144" s="304" t="s">
        <v>963</v>
      </c>
      <c r="K144" s="305" t="str">
        <f>IF(ISNUMBER(J144),J144/365,"-")</f>
        <v>-</v>
      </c>
      <c r="L144" s="304" t="s">
        <v>963</v>
      </c>
      <c r="M144" s="305" t="str">
        <f>IF(ISNUMBER(L144),L144/365,"-")</f>
        <v>-</v>
      </c>
      <c r="N144" s="304" t="s">
        <v>963</v>
      </c>
      <c r="O144" s="305" t="str">
        <f>IF(ISNUMBER(N144),N144/365,"-")</f>
        <v>-</v>
      </c>
    </row>
    <row r="145" spans="1:15" ht="13.5" thickBot="1">
      <c r="A145" s="306"/>
      <c r="B145" s="237"/>
      <c r="C145" s="237"/>
      <c r="D145" s="307"/>
      <c r="E145" s="308"/>
      <c r="F145" s="307"/>
      <c r="G145" s="308"/>
      <c r="H145" s="308"/>
      <c r="I145" s="308"/>
      <c r="J145" s="307"/>
      <c r="K145" s="308"/>
      <c r="L145" s="308"/>
      <c r="M145" s="308"/>
      <c r="N145" s="308"/>
      <c r="O145" s="308"/>
    </row>
    <row r="146" spans="1:15" ht="12.75">
      <c r="A146" s="154" t="s">
        <v>382</v>
      </c>
      <c r="B146" s="236"/>
      <c r="C146" s="236"/>
      <c r="D146" s="304"/>
      <c r="E146" s="305"/>
      <c r="F146" s="304"/>
      <c r="G146" s="305"/>
      <c r="H146" s="305"/>
      <c r="I146" s="305"/>
      <c r="J146" s="304"/>
      <c r="K146" s="305"/>
      <c r="L146" s="305"/>
      <c r="M146" s="305"/>
      <c r="N146" s="305"/>
      <c r="O146" s="305"/>
    </row>
    <row r="147" spans="1:15" ht="12.75">
      <c r="A147" s="187" t="s">
        <v>186</v>
      </c>
      <c r="B147" s="236">
        <v>0.7173</v>
      </c>
      <c r="C147" s="236">
        <v>2.2573</v>
      </c>
      <c r="D147" s="304">
        <f aca="true" t="shared" si="56" ref="D147:D181">EXP(8.87-1.93*$B147)/365</f>
        <v>4.882774710110703</v>
      </c>
      <c r="E147" s="305">
        <f aca="true" t="shared" si="57" ref="E147:E181">EXP(8.87-1.93*$C147)/365</f>
        <v>0.24995200649169305</v>
      </c>
      <c r="F147" s="304">
        <v>594</v>
      </c>
      <c r="G147" s="305">
        <f aca="true" t="shared" si="58" ref="G147:I149">IF(ISNUMBER(F147),F147/365,"-")</f>
        <v>1.6273972602739726</v>
      </c>
      <c r="H147" s="305">
        <v>594</v>
      </c>
      <c r="I147" s="305">
        <f t="shared" si="58"/>
        <v>1.6273972602739726</v>
      </c>
      <c r="J147" s="304">
        <v>585</v>
      </c>
      <c r="K147" s="305">
        <f aca="true" t="shared" si="59" ref="K147:K181">IF(ISNUMBER(J147),J147/365,"-")</f>
        <v>1.6027397260273972</v>
      </c>
      <c r="L147" s="305">
        <v>585</v>
      </c>
      <c r="M147" s="305">
        <f aca="true" t="shared" si="60" ref="M147:M181">IF(ISNUMBER(L147),L147/365,"-")</f>
        <v>1.6027397260273972</v>
      </c>
      <c r="N147" s="305">
        <v>293</v>
      </c>
      <c r="O147" s="305">
        <f aca="true" t="shared" si="61" ref="O147:O181">IF(ISNUMBER(N147),N147/365,"-")</f>
        <v>0.8027397260273973</v>
      </c>
    </row>
    <row r="148" spans="1:15" ht="12.75">
      <c r="A148" s="187" t="s">
        <v>187</v>
      </c>
      <c r="B148" s="236">
        <v>1.1961</v>
      </c>
      <c r="C148" s="236">
        <v>2.4818</v>
      </c>
      <c r="D148" s="304">
        <f t="shared" si="56"/>
        <v>1.937947932354489</v>
      </c>
      <c r="E148" s="305">
        <f t="shared" si="57"/>
        <v>0.16206280177698576</v>
      </c>
      <c r="F148" s="304">
        <v>9170</v>
      </c>
      <c r="G148" s="305">
        <f>IF(ISNUMBER(F148),F148/365,"-")</f>
        <v>25.123287671232877</v>
      </c>
      <c r="H148" s="305">
        <v>9170</v>
      </c>
      <c r="I148" s="305">
        <f>IF(ISNUMBER(H148),H148/365,"-")</f>
        <v>25.123287671232877</v>
      </c>
      <c r="J148" s="304">
        <v>5700</v>
      </c>
      <c r="K148" s="305">
        <f t="shared" si="59"/>
        <v>15.616438356164384</v>
      </c>
      <c r="L148" s="305">
        <v>5700</v>
      </c>
      <c r="M148" s="305">
        <f t="shared" si="60"/>
        <v>15.616438356164384</v>
      </c>
      <c r="N148" s="305">
        <v>2860</v>
      </c>
      <c r="O148" s="305">
        <f t="shared" si="61"/>
        <v>7.835616438356165</v>
      </c>
    </row>
    <row r="149" spans="1:15" ht="12.75">
      <c r="A149" s="187" t="s">
        <v>724</v>
      </c>
      <c r="B149" s="236">
        <v>1.5174</v>
      </c>
      <c r="C149" s="236">
        <v>2.8245</v>
      </c>
      <c r="D149" s="304">
        <f t="shared" si="56"/>
        <v>1.0423946833451414</v>
      </c>
      <c r="E149" s="305">
        <f t="shared" si="57"/>
        <v>0.08364427000118438</v>
      </c>
      <c r="F149" s="304">
        <v>152</v>
      </c>
      <c r="G149" s="305">
        <f t="shared" si="58"/>
        <v>0.41643835616438357</v>
      </c>
      <c r="H149" s="305">
        <v>152</v>
      </c>
      <c r="I149" s="305">
        <f t="shared" si="58"/>
        <v>0.41643835616438357</v>
      </c>
      <c r="J149" s="304">
        <v>123</v>
      </c>
      <c r="K149" s="305">
        <f t="shared" si="59"/>
        <v>0.336986301369863</v>
      </c>
      <c r="L149" s="305">
        <v>123</v>
      </c>
      <c r="M149" s="305">
        <f t="shared" si="60"/>
        <v>0.336986301369863</v>
      </c>
      <c r="N149" s="305">
        <v>209</v>
      </c>
      <c r="O149" s="305">
        <f t="shared" si="61"/>
        <v>0.5726027397260274</v>
      </c>
    </row>
    <row r="150" spans="1:15" ht="12.75">
      <c r="A150" s="187" t="s">
        <v>460</v>
      </c>
      <c r="B150" s="236">
        <v>2.6517</v>
      </c>
      <c r="C150" s="236">
        <v>3.8553</v>
      </c>
      <c r="D150" s="304">
        <f t="shared" si="56"/>
        <v>0.11675490697142847</v>
      </c>
      <c r="E150" s="305">
        <f t="shared" si="57"/>
        <v>0.011440148028242737</v>
      </c>
      <c r="F150" s="304">
        <v>45.1</v>
      </c>
      <c r="G150" s="305">
        <f aca="true" t="shared" si="62" ref="G150:G181">IF(ISNUMBER(F150),F150/365,"-")</f>
        <v>0.12356164383561644</v>
      </c>
      <c r="H150" s="305">
        <v>45.1</v>
      </c>
      <c r="I150" s="305">
        <f aca="true" t="shared" si="63" ref="I150:I181">IF(ISNUMBER(H150),H150/365,"-")</f>
        <v>0.12356164383561644</v>
      </c>
      <c r="J150" s="304">
        <v>45.1</v>
      </c>
      <c r="K150" s="305">
        <f t="shared" si="59"/>
        <v>0.12356164383561644</v>
      </c>
      <c r="L150" s="305">
        <v>45.1</v>
      </c>
      <c r="M150" s="305">
        <f t="shared" si="60"/>
        <v>0.12356164383561644</v>
      </c>
      <c r="N150" s="305">
        <v>113</v>
      </c>
      <c r="O150" s="305">
        <f t="shared" si="61"/>
        <v>0.3095890410958904</v>
      </c>
    </row>
    <row r="151" spans="1:15" ht="12.75">
      <c r="A151" s="187" t="s">
        <v>388</v>
      </c>
      <c r="B151" s="236">
        <v>2.5182</v>
      </c>
      <c r="C151" s="236">
        <v>3.7931</v>
      </c>
      <c r="D151" s="304">
        <f t="shared" si="56"/>
        <v>0.1510682808096171</v>
      </c>
      <c r="E151" s="305">
        <f t="shared" si="57"/>
        <v>0.012899324238713398</v>
      </c>
      <c r="F151" s="304">
        <v>20.5</v>
      </c>
      <c r="G151" s="305">
        <f t="shared" si="62"/>
        <v>0.056164383561643834</v>
      </c>
      <c r="H151" s="305">
        <v>20.5</v>
      </c>
      <c r="I151" s="305">
        <f t="shared" si="63"/>
        <v>0.056164383561643834</v>
      </c>
      <c r="J151" s="304">
        <v>1.61</v>
      </c>
      <c r="K151" s="305">
        <f t="shared" si="59"/>
        <v>0.00441095890410959</v>
      </c>
      <c r="L151" s="305">
        <v>1.61</v>
      </c>
      <c r="M151" s="305">
        <f t="shared" si="60"/>
        <v>0.00441095890410959</v>
      </c>
      <c r="N151" s="305">
        <v>4.7</v>
      </c>
      <c r="O151" s="305">
        <f t="shared" si="61"/>
        <v>0.012876712328767123</v>
      </c>
    </row>
    <row r="152" spans="1:15" ht="12.75">
      <c r="A152" s="187" t="s">
        <v>461</v>
      </c>
      <c r="B152" s="236">
        <v>0.6733</v>
      </c>
      <c r="C152" s="236">
        <v>2.2245</v>
      </c>
      <c r="D152" s="304">
        <f t="shared" si="56"/>
        <v>5.315534899938689</v>
      </c>
      <c r="E152" s="305">
        <f t="shared" si="57"/>
        <v>0.26628653423645693</v>
      </c>
      <c r="F152" s="304">
        <v>698</v>
      </c>
      <c r="G152" s="305">
        <f t="shared" si="62"/>
        <v>1.9123287671232876</v>
      </c>
      <c r="H152" s="305">
        <v>698</v>
      </c>
      <c r="I152" s="305">
        <f t="shared" si="63"/>
        <v>1.9123287671232876</v>
      </c>
      <c r="J152" s="304">
        <v>1100</v>
      </c>
      <c r="K152" s="305">
        <f t="shared" si="59"/>
        <v>3.0136986301369864</v>
      </c>
      <c r="L152" s="305">
        <v>1100</v>
      </c>
      <c r="M152" s="305">
        <f t="shared" si="60"/>
        <v>3.0136986301369864</v>
      </c>
      <c r="N152" s="305">
        <v>548</v>
      </c>
      <c r="O152" s="305">
        <f t="shared" si="61"/>
        <v>1.5013698630136987</v>
      </c>
    </row>
    <row r="153" spans="1:15" ht="12.75">
      <c r="A153" s="187" t="s">
        <v>462</v>
      </c>
      <c r="B153" s="236">
        <v>0.6245</v>
      </c>
      <c r="C153" s="236">
        <v>2.1967</v>
      </c>
      <c r="D153" s="304">
        <f t="shared" si="56"/>
        <v>5.840507223557609</v>
      </c>
      <c r="E153" s="305">
        <f t="shared" si="57"/>
        <v>0.2809641062471712</v>
      </c>
      <c r="F153" s="304">
        <v>228</v>
      </c>
      <c r="G153" s="305">
        <f t="shared" si="62"/>
        <v>0.6246575342465753</v>
      </c>
      <c r="H153" s="305">
        <v>228</v>
      </c>
      <c r="I153" s="305">
        <f t="shared" si="63"/>
        <v>0.6246575342465753</v>
      </c>
      <c r="J153" s="304">
        <v>28.1</v>
      </c>
      <c r="K153" s="305">
        <f t="shared" si="59"/>
        <v>0.07698630136986302</v>
      </c>
      <c r="L153" s="305">
        <v>4.6</v>
      </c>
      <c r="M153" s="305">
        <f t="shared" si="60"/>
        <v>0.012602739726027396</v>
      </c>
      <c r="N153" s="305">
        <v>29</v>
      </c>
      <c r="O153" s="305">
        <f t="shared" si="61"/>
        <v>0.07945205479452055</v>
      </c>
    </row>
    <row r="154" spans="1:15" ht="12.75">
      <c r="A154" s="187" t="s">
        <v>463</v>
      </c>
      <c r="B154" s="236">
        <v>2.574</v>
      </c>
      <c r="C154" s="236">
        <v>3.9</v>
      </c>
      <c r="D154" s="304">
        <f t="shared" si="56"/>
        <v>0.13564455868501304</v>
      </c>
      <c r="E154" s="305">
        <f t="shared" si="57"/>
        <v>0.010494569421306306</v>
      </c>
      <c r="F154" s="304" t="s">
        <v>963</v>
      </c>
      <c r="G154" s="305" t="str">
        <f t="shared" si="62"/>
        <v>-</v>
      </c>
      <c r="H154" s="304" t="s">
        <v>963</v>
      </c>
      <c r="I154" s="305" t="str">
        <f t="shared" si="63"/>
        <v>-</v>
      </c>
      <c r="J154" s="304" t="s">
        <v>963</v>
      </c>
      <c r="K154" s="305" t="str">
        <f t="shared" si="59"/>
        <v>-</v>
      </c>
      <c r="L154" s="304" t="s">
        <v>963</v>
      </c>
      <c r="M154" s="305" t="str">
        <f t="shared" si="60"/>
        <v>-</v>
      </c>
      <c r="N154" s="304" t="s">
        <v>963</v>
      </c>
      <c r="O154" s="305" t="str">
        <f t="shared" si="61"/>
        <v>-</v>
      </c>
    </row>
    <row r="155" spans="1:15" ht="12.75">
      <c r="A155" s="187" t="s">
        <v>494</v>
      </c>
      <c r="B155" s="236">
        <v>2.4958</v>
      </c>
      <c r="C155" s="236">
        <v>3.7362</v>
      </c>
      <c r="D155" s="304">
        <f t="shared" si="56"/>
        <v>0.15774249506110938</v>
      </c>
      <c r="E155" s="305">
        <f t="shared" si="57"/>
        <v>0.014396597952910413</v>
      </c>
      <c r="F155" s="304">
        <v>28</v>
      </c>
      <c r="G155" s="305">
        <f t="shared" si="62"/>
        <v>0.07671232876712329</v>
      </c>
      <c r="H155" s="305">
        <v>28</v>
      </c>
      <c r="I155" s="305">
        <f t="shared" si="63"/>
        <v>0.07671232876712329</v>
      </c>
      <c r="J155" s="304">
        <v>28</v>
      </c>
      <c r="K155" s="305">
        <f t="shared" si="59"/>
        <v>0.07671232876712329</v>
      </c>
      <c r="L155" s="305">
        <v>28</v>
      </c>
      <c r="M155" s="305">
        <f t="shared" si="60"/>
        <v>0.07671232876712329</v>
      </c>
      <c r="N155" s="305">
        <v>70</v>
      </c>
      <c r="O155" s="305">
        <f t="shared" si="61"/>
        <v>0.1917808219178082</v>
      </c>
    </row>
    <row r="156" spans="1:15" ht="12.75">
      <c r="A156" s="187" t="s">
        <v>464</v>
      </c>
      <c r="B156" s="236">
        <v>2.663</v>
      </c>
      <c r="C156" s="236">
        <v>3.843</v>
      </c>
      <c r="D156" s="304">
        <f t="shared" si="56"/>
        <v>0.11423616466297094</v>
      </c>
      <c r="E156" s="305">
        <f t="shared" si="57"/>
        <v>0.01171497485307526</v>
      </c>
      <c r="F156" s="304">
        <v>34</v>
      </c>
      <c r="G156" s="305">
        <f t="shared" si="62"/>
        <v>0.09315068493150686</v>
      </c>
      <c r="H156" s="305">
        <v>34</v>
      </c>
      <c r="I156" s="305">
        <f t="shared" si="63"/>
        <v>0.09315068493150686</v>
      </c>
      <c r="J156" s="304">
        <v>34</v>
      </c>
      <c r="K156" s="305">
        <f t="shared" si="59"/>
        <v>0.09315068493150686</v>
      </c>
      <c r="L156" s="305">
        <v>34</v>
      </c>
      <c r="M156" s="305">
        <f t="shared" si="60"/>
        <v>0.09315068493150686</v>
      </c>
      <c r="N156" s="305">
        <v>85</v>
      </c>
      <c r="O156" s="305">
        <f t="shared" si="61"/>
        <v>0.2328767123287671</v>
      </c>
    </row>
    <row r="157" spans="1:15" ht="12.75">
      <c r="A157" s="187" t="s">
        <v>465</v>
      </c>
      <c r="B157" s="236">
        <v>2.5397</v>
      </c>
      <c r="C157" s="236">
        <v>3.7845</v>
      </c>
      <c r="D157" s="304">
        <f t="shared" si="56"/>
        <v>0.14492797942397068</v>
      </c>
      <c r="E157" s="305">
        <f t="shared" si="57"/>
        <v>0.013115213934684653</v>
      </c>
      <c r="F157" s="304">
        <v>21</v>
      </c>
      <c r="G157" s="305">
        <f t="shared" si="62"/>
        <v>0.057534246575342465</v>
      </c>
      <c r="H157" s="305">
        <v>21</v>
      </c>
      <c r="I157" s="305">
        <f t="shared" si="63"/>
        <v>0.057534246575342465</v>
      </c>
      <c r="J157" s="304">
        <v>21</v>
      </c>
      <c r="K157" s="305">
        <f t="shared" si="59"/>
        <v>0.057534246575342465</v>
      </c>
      <c r="L157" s="305">
        <v>21</v>
      </c>
      <c r="M157" s="305">
        <f t="shared" si="60"/>
        <v>0.057534246575342465</v>
      </c>
      <c r="N157" s="305">
        <v>52.5</v>
      </c>
      <c r="O157" s="305">
        <f t="shared" si="61"/>
        <v>0.14383561643835616</v>
      </c>
    </row>
    <row r="158" spans="1:15" ht="12.75">
      <c r="A158" s="187" t="s">
        <v>468</v>
      </c>
      <c r="B158" s="236">
        <v>2.6017</v>
      </c>
      <c r="C158" s="236">
        <v>3.825</v>
      </c>
      <c r="D158" s="304">
        <f t="shared" si="56"/>
        <v>0.12858329769318652</v>
      </c>
      <c r="E158" s="305">
        <f t="shared" si="57"/>
        <v>0.012129104868671569</v>
      </c>
      <c r="F158" s="304" t="s">
        <v>963</v>
      </c>
      <c r="G158" s="305" t="str">
        <f t="shared" si="62"/>
        <v>-</v>
      </c>
      <c r="H158" s="304" t="s">
        <v>963</v>
      </c>
      <c r="I158" s="305" t="str">
        <f t="shared" si="63"/>
        <v>-</v>
      </c>
      <c r="J158" s="304" t="s">
        <v>963</v>
      </c>
      <c r="K158" s="305" t="str">
        <f t="shared" si="59"/>
        <v>-</v>
      </c>
      <c r="L158" s="304" t="s">
        <v>963</v>
      </c>
      <c r="M158" s="305" t="str">
        <f t="shared" si="60"/>
        <v>-</v>
      </c>
      <c r="N158" s="304" t="s">
        <v>963</v>
      </c>
      <c r="O158" s="305" t="str">
        <f t="shared" si="61"/>
        <v>-</v>
      </c>
    </row>
    <row r="159" spans="1:15" ht="12.75">
      <c r="A159" s="187" t="s">
        <v>387</v>
      </c>
      <c r="B159" s="236">
        <v>0.2718</v>
      </c>
      <c r="C159" s="236">
        <v>1.9913</v>
      </c>
      <c r="D159" s="304">
        <f t="shared" si="56"/>
        <v>11.536646794064389</v>
      </c>
      <c r="E159" s="305">
        <f t="shared" si="57"/>
        <v>0.4176521568327509</v>
      </c>
      <c r="F159" s="304">
        <v>5700</v>
      </c>
      <c r="G159" s="305">
        <f t="shared" si="62"/>
        <v>15.616438356164384</v>
      </c>
      <c r="H159" s="305">
        <v>5700</v>
      </c>
      <c r="I159" s="305">
        <f t="shared" si="63"/>
        <v>15.616438356164384</v>
      </c>
      <c r="J159" s="304">
        <v>1390</v>
      </c>
      <c r="K159" s="305">
        <f t="shared" si="59"/>
        <v>3.808219178082192</v>
      </c>
      <c r="L159" s="305">
        <v>1670</v>
      </c>
      <c r="M159" s="305">
        <f t="shared" si="60"/>
        <v>4.575342465753424</v>
      </c>
      <c r="N159" s="305">
        <v>694</v>
      </c>
      <c r="O159" s="305">
        <f t="shared" si="61"/>
        <v>1.9013698630136986</v>
      </c>
    </row>
    <row r="160" spans="1:15" ht="12.75">
      <c r="A160" s="187" t="s">
        <v>466</v>
      </c>
      <c r="B160" s="236">
        <v>2.7465</v>
      </c>
      <c r="C160" s="236">
        <v>3.9172</v>
      </c>
      <c r="D160" s="304">
        <f t="shared" si="56"/>
        <v>0.0972332688865256</v>
      </c>
      <c r="E160" s="305">
        <f t="shared" si="57"/>
        <v>0.010151910611907228</v>
      </c>
      <c r="F160" s="304">
        <v>7.94</v>
      </c>
      <c r="G160" s="305">
        <f t="shared" si="62"/>
        <v>0.021753424657534246</v>
      </c>
      <c r="H160" s="305">
        <v>7.94</v>
      </c>
      <c r="I160" s="305">
        <f t="shared" si="63"/>
        <v>0.021753424657534246</v>
      </c>
      <c r="J160" s="304">
        <v>7.94</v>
      </c>
      <c r="K160" s="305">
        <f t="shared" si="59"/>
        <v>0.021753424657534246</v>
      </c>
      <c r="L160" s="305">
        <v>7.94</v>
      </c>
      <c r="M160" s="305">
        <f t="shared" si="60"/>
        <v>0.021753424657534246</v>
      </c>
      <c r="N160" s="305">
        <v>19.8</v>
      </c>
      <c r="O160" s="305">
        <f t="shared" si="61"/>
        <v>0.054246575342465755</v>
      </c>
    </row>
    <row r="161" spans="1:15" ht="12.75">
      <c r="A161" s="187" t="s">
        <v>467</v>
      </c>
      <c r="B161" s="236">
        <v>2.9033</v>
      </c>
      <c r="C161" s="236">
        <v>4.2944</v>
      </c>
      <c r="D161" s="304">
        <f t="shared" si="56"/>
        <v>0.07184341258203612</v>
      </c>
      <c r="E161" s="305">
        <f t="shared" si="57"/>
        <v>0.004902110983976182</v>
      </c>
      <c r="F161" s="304">
        <v>5</v>
      </c>
      <c r="G161" s="305">
        <f t="shared" si="62"/>
        <v>0.0136986301369863</v>
      </c>
      <c r="H161" s="305">
        <v>27.8</v>
      </c>
      <c r="I161" s="305">
        <f t="shared" si="63"/>
        <v>0.07616438356164383</v>
      </c>
      <c r="J161" s="304">
        <v>27.8</v>
      </c>
      <c r="K161" s="305">
        <f t="shared" si="59"/>
        <v>0.07616438356164383</v>
      </c>
      <c r="L161" s="305">
        <v>55.7</v>
      </c>
      <c r="M161" s="305">
        <f t="shared" si="60"/>
        <v>0.1526027397260274</v>
      </c>
      <c r="N161" s="305">
        <v>69.6</v>
      </c>
      <c r="O161" s="305">
        <f t="shared" si="61"/>
        <v>0.1906849315068493</v>
      </c>
    </row>
    <row r="162" spans="1:15" ht="12.75">
      <c r="A162" s="187" t="s">
        <v>469</v>
      </c>
      <c r="B162" s="236">
        <v>2.9978</v>
      </c>
      <c r="C162" s="236">
        <v>4.2187</v>
      </c>
      <c r="D162" s="304">
        <f t="shared" si="56"/>
        <v>0.05986571229182661</v>
      </c>
      <c r="E162" s="305">
        <f t="shared" si="57"/>
        <v>0.005673277116112326</v>
      </c>
      <c r="F162" s="304">
        <v>2</v>
      </c>
      <c r="G162" s="305">
        <f t="shared" si="62"/>
        <v>0.005479452054794521</v>
      </c>
      <c r="H162" s="305">
        <v>2</v>
      </c>
      <c r="I162" s="305">
        <f t="shared" si="63"/>
        <v>0.005479452054794521</v>
      </c>
      <c r="J162" s="304">
        <v>2</v>
      </c>
      <c r="K162" s="305">
        <f t="shared" si="59"/>
        <v>0.005479452054794521</v>
      </c>
      <c r="L162" s="305">
        <v>2</v>
      </c>
      <c r="M162" s="305">
        <f t="shared" si="60"/>
        <v>0.005479452054794521</v>
      </c>
      <c r="N162" s="305">
        <v>5</v>
      </c>
      <c r="O162" s="305">
        <f t="shared" si="61"/>
        <v>0.0136986301369863</v>
      </c>
    </row>
    <row r="163" spans="1:15" ht="12.75">
      <c r="A163" s="187" t="s">
        <v>470</v>
      </c>
      <c r="B163" s="236">
        <v>2.4796</v>
      </c>
      <c r="C163" s="236">
        <v>3.3571</v>
      </c>
      <c r="D163" s="304">
        <f t="shared" si="56"/>
        <v>0.16275238337906117</v>
      </c>
      <c r="E163" s="305">
        <f t="shared" si="57"/>
        <v>0.029923823191261332</v>
      </c>
      <c r="F163" s="304" t="s">
        <v>963</v>
      </c>
      <c r="G163" s="305" t="str">
        <f t="shared" si="62"/>
        <v>-</v>
      </c>
      <c r="H163" s="305">
        <v>7.2</v>
      </c>
      <c r="I163" s="305">
        <f t="shared" si="63"/>
        <v>0.019726027397260273</v>
      </c>
      <c r="J163" s="304">
        <v>7.2</v>
      </c>
      <c r="K163" s="305">
        <f t="shared" si="59"/>
        <v>0.019726027397260273</v>
      </c>
      <c r="L163" s="305">
        <v>7.2</v>
      </c>
      <c r="M163" s="305">
        <f t="shared" si="60"/>
        <v>0.019726027397260273</v>
      </c>
      <c r="N163" s="304" t="s">
        <v>963</v>
      </c>
      <c r="O163" s="305" t="str">
        <f t="shared" si="61"/>
        <v>-</v>
      </c>
    </row>
    <row r="164" spans="1:15" ht="12.75">
      <c r="A164" s="187" t="s">
        <v>471</v>
      </c>
      <c r="B164" s="236">
        <v>2.6825</v>
      </c>
      <c r="C164" s="236">
        <v>3.8659</v>
      </c>
      <c r="D164" s="304">
        <f t="shared" si="56"/>
        <v>0.1100167828369541</v>
      </c>
      <c r="E164" s="305">
        <f t="shared" si="57"/>
        <v>0.011208483258636341</v>
      </c>
      <c r="F164" s="304">
        <v>65</v>
      </c>
      <c r="G164" s="305">
        <f t="shared" si="62"/>
        <v>0.1780821917808219</v>
      </c>
      <c r="H164" s="305">
        <v>65</v>
      </c>
      <c r="I164" s="305">
        <f t="shared" si="63"/>
        <v>0.1780821917808219</v>
      </c>
      <c r="J164" s="304">
        <v>65</v>
      </c>
      <c r="K164" s="305">
        <f t="shared" si="59"/>
        <v>0.1780821917808219</v>
      </c>
      <c r="L164" s="305">
        <v>35</v>
      </c>
      <c r="M164" s="305">
        <f t="shared" si="60"/>
        <v>0.0958904109589041</v>
      </c>
      <c r="N164" s="305">
        <v>81</v>
      </c>
      <c r="O164" s="305">
        <f t="shared" si="61"/>
        <v>0.2219178082191781</v>
      </c>
    </row>
    <row r="165" spans="1:18" ht="12.75">
      <c r="A165" s="187" t="s">
        <v>472</v>
      </c>
      <c r="B165" s="236">
        <v>1.3513</v>
      </c>
      <c r="C165" s="236">
        <v>2.5848</v>
      </c>
      <c r="D165" s="304">
        <f t="shared" si="56"/>
        <v>1.4363334431437735</v>
      </c>
      <c r="E165" s="305">
        <f t="shared" si="57"/>
        <v>0.13284644673431875</v>
      </c>
      <c r="F165" s="304">
        <v>81</v>
      </c>
      <c r="G165" s="305">
        <f t="shared" si="62"/>
        <v>0.2219178082191781</v>
      </c>
      <c r="H165" s="305">
        <v>169</v>
      </c>
      <c r="I165" s="305">
        <f t="shared" si="63"/>
        <v>0.46301369863013697</v>
      </c>
      <c r="J165" s="304">
        <v>169</v>
      </c>
      <c r="K165" s="305">
        <f t="shared" si="59"/>
        <v>0.46301369863013697</v>
      </c>
      <c r="L165" s="305">
        <v>0.37</v>
      </c>
      <c r="M165" s="305">
        <f t="shared" si="60"/>
        <v>0.0010136986301369864</v>
      </c>
      <c r="N165" s="305">
        <v>0.37</v>
      </c>
      <c r="O165" s="305">
        <f t="shared" si="61"/>
        <v>0.0010136986301369864</v>
      </c>
      <c r="Q165" s="232"/>
      <c r="R165" s="232"/>
    </row>
    <row r="166" spans="1:15" ht="12.75">
      <c r="A166" s="187" t="s">
        <v>473</v>
      </c>
      <c r="B166" s="236">
        <v>0.5256</v>
      </c>
      <c r="C166" s="236">
        <v>2.1445</v>
      </c>
      <c r="D166" s="304">
        <f t="shared" si="56"/>
        <v>7.068827654428586</v>
      </c>
      <c r="E166" s="305">
        <f t="shared" si="57"/>
        <v>0.3107450886378045</v>
      </c>
      <c r="F166" s="304">
        <v>402</v>
      </c>
      <c r="G166" s="305">
        <f t="shared" si="62"/>
        <v>1.1013698630136985</v>
      </c>
      <c r="H166" s="305">
        <v>402</v>
      </c>
      <c r="I166" s="305">
        <f t="shared" si="63"/>
        <v>1.1013698630136985</v>
      </c>
      <c r="J166" s="304">
        <v>130</v>
      </c>
      <c r="K166" s="305">
        <f t="shared" si="59"/>
        <v>0.3561643835616438</v>
      </c>
      <c r="L166" s="305">
        <v>3.18</v>
      </c>
      <c r="M166" s="305">
        <f t="shared" si="60"/>
        <v>0.008712328767123289</v>
      </c>
      <c r="N166" s="305">
        <v>138</v>
      </c>
      <c r="O166" s="305">
        <f t="shared" si="61"/>
        <v>0.3780821917808219</v>
      </c>
    </row>
    <row r="167" spans="1:15" ht="12.75">
      <c r="A167" s="187" t="s">
        <v>474</v>
      </c>
      <c r="B167" s="236">
        <v>0.4815</v>
      </c>
      <c r="C167" s="236">
        <v>2.1117</v>
      </c>
      <c r="D167" s="304">
        <f t="shared" si="56"/>
        <v>7.6968230007865825</v>
      </c>
      <c r="E167" s="305">
        <f t="shared" si="57"/>
        <v>0.3310524842180517</v>
      </c>
      <c r="F167" s="304">
        <v>234</v>
      </c>
      <c r="G167" s="305">
        <f t="shared" si="62"/>
        <v>0.6410958904109589</v>
      </c>
      <c r="H167" s="305">
        <v>234</v>
      </c>
      <c r="I167" s="305">
        <f t="shared" si="63"/>
        <v>0.6410958904109589</v>
      </c>
      <c r="J167" s="304">
        <v>553</v>
      </c>
      <c r="K167" s="305">
        <f t="shared" si="59"/>
        <v>1.515068493150685</v>
      </c>
      <c r="L167" s="305">
        <v>553</v>
      </c>
      <c r="M167" s="305">
        <f t="shared" si="60"/>
        <v>1.515068493150685</v>
      </c>
      <c r="N167" s="305">
        <v>277</v>
      </c>
      <c r="O167" s="305">
        <f t="shared" si="61"/>
        <v>0.7589041095890411</v>
      </c>
    </row>
    <row r="168" spans="1:15" ht="12.75">
      <c r="A168" s="187" t="s">
        <v>475</v>
      </c>
      <c r="B168" s="236">
        <v>2.0586</v>
      </c>
      <c r="C168" s="236">
        <v>3.1505</v>
      </c>
      <c r="D168" s="304">
        <f t="shared" si="56"/>
        <v>0.3667791608563518</v>
      </c>
      <c r="E168" s="305">
        <f t="shared" si="57"/>
        <v>0.04458479695202612</v>
      </c>
      <c r="F168" s="304">
        <v>6.71</v>
      </c>
      <c r="G168" s="305">
        <f t="shared" si="62"/>
        <v>0.018383561643835616</v>
      </c>
      <c r="H168" s="305">
        <v>6.71</v>
      </c>
      <c r="I168" s="305">
        <f t="shared" si="63"/>
        <v>0.018383561643835616</v>
      </c>
      <c r="J168" s="304">
        <v>6.71</v>
      </c>
      <c r="K168" s="305">
        <f t="shared" si="59"/>
        <v>0.018383561643835616</v>
      </c>
      <c r="L168" s="305">
        <v>6.71</v>
      </c>
      <c r="M168" s="305">
        <f t="shared" si="60"/>
        <v>0.018383561643835616</v>
      </c>
      <c r="N168" s="305">
        <v>16.8</v>
      </c>
      <c r="O168" s="305">
        <f t="shared" si="61"/>
        <v>0.046027397260273974</v>
      </c>
    </row>
    <row r="169" spans="1:15" ht="12.75">
      <c r="A169" s="187" t="s">
        <v>389</v>
      </c>
      <c r="B169" s="236">
        <v>2.0622</v>
      </c>
      <c r="C169" s="236">
        <v>3.1374</v>
      </c>
      <c r="D169" s="304">
        <f t="shared" si="56"/>
        <v>0.3642396118562714</v>
      </c>
      <c r="E169" s="305">
        <f t="shared" si="57"/>
        <v>0.04572640520217779</v>
      </c>
      <c r="F169" s="304" t="s">
        <v>963</v>
      </c>
      <c r="G169" s="305" t="str">
        <f t="shared" si="62"/>
        <v>-</v>
      </c>
      <c r="H169" s="304" t="s">
        <v>963</v>
      </c>
      <c r="I169" s="305" t="str">
        <f t="shared" si="63"/>
        <v>-</v>
      </c>
      <c r="J169" s="304" t="s">
        <v>963</v>
      </c>
      <c r="K169" s="305" t="str">
        <f t="shared" si="59"/>
        <v>-</v>
      </c>
      <c r="L169" s="304" t="s">
        <v>963</v>
      </c>
      <c r="M169" s="305" t="str">
        <f t="shared" si="60"/>
        <v>-</v>
      </c>
      <c r="N169" s="304" t="s">
        <v>963</v>
      </c>
      <c r="O169" s="305" t="str">
        <f t="shared" si="61"/>
        <v>-</v>
      </c>
    </row>
    <row r="170" spans="1:15" ht="12.75">
      <c r="A170" s="187" t="s">
        <v>383</v>
      </c>
      <c r="B170" s="236">
        <v>2.002</v>
      </c>
      <c r="C170" s="236">
        <v>3.0969</v>
      </c>
      <c r="D170" s="304">
        <f t="shared" si="56"/>
        <v>0.4091156690200057</v>
      </c>
      <c r="E170" s="305">
        <f t="shared" si="57"/>
        <v>0.049444010352292504</v>
      </c>
      <c r="F170" s="304">
        <v>60</v>
      </c>
      <c r="G170" s="305">
        <f t="shared" si="62"/>
        <v>0.1643835616438356</v>
      </c>
      <c r="H170" s="305">
        <v>742</v>
      </c>
      <c r="I170" s="305">
        <f t="shared" si="63"/>
        <v>2.032876712328767</v>
      </c>
      <c r="J170" s="304">
        <v>742</v>
      </c>
      <c r="K170" s="305">
        <f t="shared" si="59"/>
        <v>2.032876712328767</v>
      </c>
      <c r="L170" s="305">
        <v>742</v>
      </c>
      <c r="M170" s="305">
        <f t="shared" si="60"/>
        <v>2.032876712328767</v>
      </c>
      <c r="N170" s="305">
        <v>0.104</v>
      </c>
      <c r="O170" s="305">
        <f t="shared" si="61"/>
        <v>0.00028493150684931505</v>
      </c>
    </row>
    <row r="171" spans="1:15" ht="12.75">
      <c r="A171" s="187" t="s">
        <v>385</v>
      </c>
      <c r="B171" s="236">
        <v>2.6511</v>
      </c>
      <c r="C171" s="236">
        <v>3.5064</v>
      </c>
      <c r="D171" s="304">
        <f t="shared" si="56"/>
        <v>0.11689018746599056</v>
      </c>
      <c r="E171" s="305">
        <f t="shared" si="57"/>
        <v>0.0224323906465302</v>
      </c>
      <c r="F171" s="304" t="s">
        <v>963</v>
      </c>
      <c r="G171" s="305" t="str">
        <f t="shared" si="62"/>
        <v>-</v>
      </c>
      <c r="H171" s="304" t="s">
        <v>963</v>
      </c>
      <c r="I171" s="305" t="str">
        <f t="shared" si="63"/>
        <v>-</v>
      </c>
      <c r="J171" s="304" t="s">
        <v>963</v>
      </c>
      <c r="K171" s="305" t="str">
        <f t="shared" si="59"/>
        <v>-</v>
      </c>
      <c r="L171" s="304" t="s">
        <v>963</v>
      </c>
      <c r="M171" s="305" t="str">
        <f t="shared" si="60"/>
        <v>-</v>
      </c>
      <c r="N171" s="304" t="s">
        <v>963</v>
      </c>
      <c r="O171" s="305" t="str">
        <f t="shared" si="61"/>
        <v>-</v>
      </c>
    </row>
    <row r="172" spans="1:15" ht="12.75">
      <c r="A172" s="187" t="s">
        <v>384</v>
      </c>
      <c r="B172" s="236">
        <v>2.0312</v>
      </c>
      <c r="C172" s="236">
        <v>3.1172</v>
      </c>
      <c r="D172" s="304">
        <f t="shared" si="56"/>
        <v>0.38669718745852644</v>
      </c>
      <c r="E172" s="305">
        <f t="shared" si="57"/>
        <v>0.04754430082778052</v>
      </c>
      <c r="F172" s="304">
        <v>60</v>
      </c>
      <c r="G172" s="305">
        <f t="shared" si="62"/>
        <v>0.1643835616438356</v>
      </c>
      <c r="H172" s="305">
        <v>60</v>
      </c>
      <c r="I172" s="305">
        <f t="shared" si="63"/>
        <v>0.1643835616438356</v>
      </c>
      <c r="J172" s="304">
        <v>60</v>
      </c>
      <c r="K172" s="305">
        <f t="shared" si="59"/>
        <v>0.1643835616438356</v>
      </c>
      <c r="L172" s="305">
        <v>60</v>
      </c>
      <c r="M172" s="305">
        <f t="shared" si="60"/>
        <v>0.1643835616438356</v>
      </c>
      <c r="N172" s="305">
        <v>129</v>
      </c>
      <c r="O172" s="305">
        <f t="shared" si="61"/>
        <v>0.35342465753424657</v>
      </c>
    </row>
    <row r="173" spans="1:15" ht="12.75">
      <c r="A173" s="187" t="s">
        <v>390</v>
      </c>
      <c r="B173" s="236">
        <v>2.6416</v>
      </c>
      <c r="C173" s="236">
        <v>3.4837</v>
      </c>
      <c r="D173" s="304">
        <f t="shared" si="56"/>
        <v>0.11905313730250695</v>
      </c>
      <c r="E173" s="305">
        <f t="shared" si="57"/>
        <v>0.02343702238773405</v>
      </c>
      <c r="F173" s="304" t="s">
        <v>963</v>
      </c>
      <c r="G173" s="305" t="str">
        <f t="shared" si="62"/>
        <v>-</v>
      </c>
      <c r="H173" s="304" t="s">
        <v>963</v>
      </c>
      <c r="I173" s="305" t="str">
        <f t="shared" si="63"/>
        <v>-</v>
      </c>
      <c r="J173" s="304" t="s">
        <v>963</v>
      </c>
      <c r="K173" s="305" t="str">
        <f t="shared" si="59"/>
        <v>-</v>
      </c>
      <c r="L173" s="304" t="s">
        <v>963</v>
      </c>
      <c r="M173" s="305" t="str">
        <f t="shared" si="60"/>
        <v>-</v>
      </c>
      <c r="N173" s="304" t="s">
        <v>963</v>
      </c>
      <c r="O173" s="305" t="str">
        <f t="shared" si="61"/>
        <v>-</v>
      </c>
    </row>
    <row r="174" spans="1:15" ht="12.75">
      <c r="A174" s="187" t="s">
        <v>391</v>
      </c>
      <c r="B174" s="236">
        <v>2.2709</v>
      </c>
      <c r="C174" s="236">
        <v>3.1808</v>
      </c>
      <c r="D174" s="304">
        <f t="shared" si="56"/>
        <v>0.24347662095296188</v>
      </c>
      <c r="E174" s="305">
        <f t="shared" si="57"/>
        <v>0.04205229342667795</v>
      </c>
      <c r="F174" s="304">
        <v>90</v>
      </c>
      <c r="G174" s="305">
        <f t="shared" si="62"/>
        <v>0.2465753424657534</v>
      </c>
      <c r="H174" s="305">
        <v>372</v>
      </c>
      <c r="I174" s="305">
        <f t="shared" si="63"/>
        <v>1.0191780821917809</v>
      </c>
      <c r="J174" s="304">
        <v>372</v>
      </c>
      <c r="K174" s="305">
        <f t="shared" si="59"/>
        <v>1.0191780821917809</v>
      </c>
      <c r="L174" s="305">
        <v>372</v>
      </c>
      <c r="M174" s="305">
        <f t="shared" si="60"/>
        <v>1.0191780821917809</v>
      </c>
      <c r="N174" s="304" t="s">
        <v>963</v>
      </c>
      <c r="O174" s="305" t="str">
        <f t="shared" si="61"/>
        <v>-</v>
      </c>
    </row>
    <row r="175" spans="1:15" ht="12.75">
      <c r="A175" s="187" t="s">
        <v>392</v>
      </c>
      <c r="B175" s="236">
        <v>1.9692</v>
      </c>
      <c r="C175" s="236">
        <v>3.0767</v>
      </c>
      <c r="D175" s="304">
        <f t="shared" si="56"/>
        <v>0.43585164661915704</v>
      </c>
      <c r="E175" s="305">
        <f t="shared" si="57"/>
        <v>0.05140970281672896</v>
      </c>
      <c r="F175" s="304" t="s">
        <v>963</v>
      </c>
      <c r="G175" s="305" t="str">
        <f t="shared" si="62"/>
        <v>-</v>
      </c>
      <c r="H175" s="304" t="s">
        <v>963</v>
      </c>
      <c r="I175" s="305" t="str">
        <f t="shared" si="63"/>
        <v>-</v>
      </c>
      <c r="J175" s="304" t="s">
        <v>963</v>
      </c>
      <c r="K175" s="305" t="str">
        <f t="shared" si="59"/>
        <v>-</v>
      </c>
      <c r="L175" s="304" t="s">
        <v>963</v>
      </c>
      <c r="M175" s="305" t="str">
        <f t="shared" si="60"/>
        <v>-</v>
      </c>
      <c r="N175" s="304" t="s">
        <v>963</v>
      </c>
      <c r="O175" s="305" t="str">
        <f t="shared" si="61"/>
        <v>-</v>
      </c>
    </row>
    <row r="176" spans="1:15" ht="12.75">
      <c r="A176" s="187" t="s">
        <v>393</v>
      </c>
      <c r="B176" s="236">
        <v>2.0932</v>
      </c>
      <c r="C176" s="236">
        <v>3.1576</v>
      </c>
      <c r="D176" s="304">
        <f t="shared" si="56"/>
        <v>0.3430862678809534</v>
      </c>
      <c r="E176" s="305">
        <f t="shared" si="57"/>
        <v>0.04397801831785521</v>
      </c>
      <c r="F176" s="304" t="s">
        <v>963</v>
      </c>
      <c r="G176" s="305" t="str">
        <f t="shared" si="62"/>
        <v>-</v>
      </c>
      <c r="H176" s="304" t="s">
        <v>963</v>
      </c>
      <c r="I176" s="305" t="str">
        <f t="shared" si="63"/>
        <v>-</v>
      </c>
      <c r="J176" s="304" t="s">
        <v>963</v>
      </c>
      <c r="K176" s="305" t="str">
        <f t="shared" si="59"/>
        <v>-</v>
      </c>
      <c r="L176" s="304" t="s">
        <v>963</v>
      </c>
      <c r="M176" s="305" t="str">
        <f t="shared" si="60"/>
        <v>-</v>
      </c>
      <c r="N176" s="304" t="s">
        <v>963</v>
      </c>
      <c r="O176" s="305" t="str">
        <f t="shared" si="61"/>
        <v>-</v>
      </c>
    </row>
    <row r="177" spans="1:15" ht="12.75">
      <c r="A177" s="187" t="s">
        <v>394</v>
      </c>
      <c r="B177" s="236">
        <v>2.6682</v>
      </c>
      <c r="C177" s="236">
        <v>3.5011</v>
      </c>
      <c r="D177" s="304">
        <f t="shared" si="56"/>
        <v>0.11309542432415444</v>
      </c>
      <c r="E177" s="305">
        <f t="shared" si="57"/>
        <v>0.022663029160112223</v>
      </c>
      <c r="F177" s="304">
        <v>48</v>
      </c>
      <c r="G177" s="305">
        <f t="shared" si="62"/>
        <v>0.13150684931506848</v>
      </c>
      <c r="H177" s="305">
        <v>48</v>
      </c>
      <c r="I177" s="305">
        <f t="shared" si="63"/>
        <v>0.13150684931506848</v>
      </c>
      <c r="J177" s="304">
        <v>48</v>
      </c>
      <c r="K177" s="305">
        <f t="shared" si="59"/>
        <v>0.13150684931506848</v>
      </c>
      <c r="L177" s="305">
        <v>48</v>
      </c>
      <c r="M177" s="305">
        <f t="shared" si="60"/>
        <v>0.13150684931506848</v>
      </c>
      <c r="N177" s="305">
        <v>120</v>
      </c>
      <c r="O177" s="305">
        <f t="shared" si="61"/>
        <v>0.3287671232876712</v>
      </c>
    </row>
    <row r="178" spans="1:15" ht="12.75">
      <c r="A178" s="187" t="s">
        <v>386</v>
      </c>
      <c r="B178" s="236">
        <v>2.7499</v>
      </c>
      <c r="C178" s="236">
        <v>3.7669</v>
      </c>
      <c r="D178" s="304">
        <f t="shared" si="56"/>
        <v>0.09659731302927159</v>
      </c>
      <c r="E178" s="305">
        <f t="shared" si="57"/>
        <v>0.013568364256167576</v>
      </c>
      <c r="F178" s="304">
        <v>7</v>
      </c>
      <c r="G178" s="305">
        <f t="shared" si="62"/>
        <v>0.019178082191780823</v>
      </c>
      <c r="H178" s="305">
        <v>7</v>
      </c>
      <c r="I178" s="305">
        <f t="shared" si="63"/>
        <v>0.019178082191780823</v>
      </c>
      <c r="J178" s="304">
        <v>7</v>
      </c>
      <c r="K178" s="305">
        <f t="shared" si="59"/>
        <v>0.019178082191780823</v>
      </c>
      <c r="L178" s="305">
        <v>7</v>
      </c>
      <c r="M178" s="305">
        <f t="shared" si="60"/>
        <v>0.019178082191780823</v>
      </c>
      <c r="N178" s="305">
        <v>17.5</v>
      </c>
      <c r="O178" s="305">
        <f t="shared" si="61"/>
        <v>0.04794520547945205</v>
      </c>
    </row>
    <row r="179" spans="1:15" ht="12.75">
      <c r="A179" s="187" t="s">
        <v>395</v>
      </c>
      <c r="B179" s="236">
        <v>2.6684</v>
      </c>
      <c r="C179" s="236">
        <v>3.4816</v>
      </c>
      <c r="D179" s="304">
        <f t="shared" si="56"/>
        <v>0.11305177791466431</v>
      </c>
      <c r="E179" s="305">
        <f t="shared" si="57"/>
        <v>0.02353220539754486</v>
      </c>
      <c r="F179" s="304" t="s">
        <v>963</v>
      </c>
      <c r="G179" s="305" t="str">
        <f t="shared" si="62"/>
        <v>-</v>
      </c>
      <c r="H179" s="304" t="s">
        <v>963</v>
      </c>
      <c r="I179" s="305" t="str">
        <f t="shared" si="63"/>
        <v>-</v>
      </c>
      <c r="J179" s="304" t="s">
        <v>963</v>
      </c>
      <c r="K179" s="305" t="str">
        <f t="shared" si="59"/>
        <v>-</v>
      </c>
      <c r="L179" s="304" t="s">
        <v>963</v>
      </c>
      <c r="M179" s="305" t="str">
        <f t="shared" si="60"/>
        <v>-</v>
      </c>
      <c r="N179" s="304" t="s">
        <v>963</v>
      </c>
      <c r="O179" s="305" t="str">
        <f t="shared" si="61"/>
        <v>-</v>
      </c>
    </row>
    <row r="180" spans="1:15" ht="12.75">
      <c r="A180" s="187" t="s">
        <v>784</v>
      </c>
      <c r="B180" s="236">
        <v>1.7845</v>
      </c>
      <c r="C180" s="236">
        <v>2.884</v>
      </c>
      <c r="D180" s="304">
        <f t="shared" si="56"/>
        <v>0.6225182376874913</v>
      </c>
      <c r="E180" s="305">
        <f t="shared" si="57"/>
        <v>0.07456997344144745</v>
      </c>
      <c r="F180" s="304" t="s">
        <v>963</v>
      </c>
      <c r="G180" s="305" t="str">
        <f t="shared" si="62"/>
        <v>-</v>
      </c>
      <c r="H180" s="304" t="s">
        <v>963</v>
      </c>
      <c r="I180" s="305" t="str">
        <f t="shared" si="63"/>
        <v>-</v>
      </c>
      <c r="J180" s="304" t="s">
        <v>963</v>
      </c>
      <c r="K180" s="305" t="str">
        <f t="shared" si="59"/>
        <v>-</v>
      </c>
      <c r="L180" s="304" t="s">
        <v>963</v>
      </c>
      <c r="M180" s="305" t="str">
        <f t="shared" si="60"/>
        <v>-</v>
      </c>
      <c r="N180" s="304" t="s">
        <v>963</v>
      </c>
      <c r="O180" s="305" t="str">
        <f t="shared" si="61"/>
        <v>-</v>
      </c>
    </row>
    <row r="181" spans="1:15" ht="12.75">
      <c r="A181" s="187" t="s">
        <v>786</v>
      </c>
      <c r="B181" s="236">
        <v>3.2146</v>
      </c>
      <c r="C181" s="236">
        <v>4.0327</v>
      </c>
      <c r="D181" s="304">
        <f t="shared" si="56"/>
        <v>0.039396616043700435</v>
      </c>
      <c r="E181" s="305">
        <f t="shared" si="57"/>
        <v>0.00812338488766849</v>
      </c>
      <c r="F181" s="304">
        <v>60</v>
      </c>
      <c r="G181" s="305">
        <f t="shared" si="62"/>
        <v>0.1643835616438356</v>
      </c>
      <c r="H181" s="305">
        <v>60</v>
      </c>
      <c r="I181" s="305">
        <f t="shared" si="63"/>
        <v>0.1643835616438356</v>
      </c>
      <c r="J181" s="304">
        <v>60</v>
      </c>
      <c r="K181" s="305">
        <f t="shared" si="59"/>
        <v>0.1643835616438356</v>
      </c>
      <c r="L181" s="305">
        <v>60</v>
      </c>
      <c r="M181" s="305">
        <f t="shared" si="60"/>
        <v>0.1643835616438356</v>
      </c>
      <c r="N181" s="305">
        <v>1500</v>
      </c>
      <c r="O181" s="305">
        <f t="shared" si="61"/>
        <v>4.109589041095891</v>
      </c>
    </row>
    <row r="182" spans="1:15" ht="13.5" thickBot="1">
      <c r="A182" s="306"/>
      <c r="B182" s="237"/>
      <c r="C182" s="237"/>
      <c r="D182" s="307"/>
      <c r="E182" s="308"/>
      <c r="F182" s="307"/>
      <c r="G182" s="308"/>
      <c r="H182" s="308"/>
      <c r="I182" s="308"/>
      <c r="J182" s="307"/>
      <c r="K182" s="308"/>
      <c r="L182" s="308"/>
      <c r="M182" s="308"/>
      <c r="N182" s="308"/>
      <c r="O182" s="308"/>
    </row>
    <row r="183" spans="1:15" ht="12.75">
      <c r="A183" s="154" t="s">
        <v>400</v>
      </c>
      <c r="B183" s="236"/>
      <c r="C183" s="236"/>
      <c r="D183" s="304"/>
      <c r="E183" s="305"/>
      <c r="F183" s="304"/>
      <c r="G183" s="305"/>
      <c r="H183" s="305"/>
      <c r="I183" s="305"/>
      <c r="J183" s="304"/>
      <c r="K183" s="305"/>
      <c r="L183" s="305"/>
      <c r="M183" s="305"/>
      <c r="N183" s="305"/>
      <c r="O183" s="305"/>
    </row>
    <row r="184" spans="1:15" ht="12.75">
      <c r="A184" s="187" t="s">
        <v>401</v>
      </c>
      <c r="B184" s="236">
        <v>3.2811</v>
      </c>
      <c r="C184" s="236">
        <v>4.0498</v>
      </c>
      <c r="D184" s="304">
        <f>EXP(8.87-1.93*$B184)/365</f>
        <v>0.034651288995788385</v>
      </c>
      <c r="E184" s="305">
        <f>EXP(8.87-1.93*$C184)/365</f>
        <v>0.007859664534173104</v>
      </c>
      <c r="F184" s="304" t="s">
        <v>963</v>
      </c>
      <c r="G184" s="305" t="str">
        <f>IF(ISNUMBER(F184),F184/365,"-")</f>
        <v>-</v>
      </c>
      <c r="H184" s="304" t="s">
        <v>963</v>
      </c>
      <c r="I184" s="305" t="str">
        <f>IF(ISNUMBER(H184),H184/365,"-")</f>
        <v>-</v>
      </c>
      <c r="J184" s="304" t="s">
        <v>963</v>
      </c>
      <c r="K184" s="305" t="str">
        <f>IF(ISNUMBER(J184),J184/365,"-")</f>
        <v>-</v>
      </c>
      <c r="L184" s="304" t="s">
        <v>963</v>
      </c>
      <c r="M184" s="305" t="str">
        <f>IF(ISNUMBER(L184),L184/365,"-")</f>
        <v>-</v>
      </c>
      <c r="N184" s="304" t="s">
        <v>963</v>
      </c>
      <c r="O184" s="305" t="str">
        <f>IF(ISNUMBER(N184),N184/365,"-")</f>
        <v>-</v>
      </c>
    </row>
    <row r="185" spans="1:15" ht="12.75">
      <c r="A185" s="187" t="s">
        <v>794</v>
      </c>
      <c r="B185" s="236">
        <v>3.451</v>
      </c>
      <c r="C185" s="236">
        <v>4.235</v>
      </c>
      <c r="D185" s="304">
        <f>EXP(8.87-1.93*$B185)/365</f>
        <v>0.024963828705804093</v>
      </c>
      <c r="E185" s="305">
        <f>EXP(8.87-1.93*$C185)/365</f>
        <v>0.005497579615112365</v>
      </c>
      <c r="F185" s="304" t="s">
        <v>963</v>
      </c>
      <c r="G185" s="305" t="str">
        <f>IF(ISNUMBER(F185),F185/365,"-")</f>
        <v>-</v>
      </c>
      <c r="H185" s="304" t="s">
        <v>963</v>
      </c>
      <c r="I185" s="305" t="str">
        <f>IF(ISNUMBER(H185),H185/365,"-")</f>
        <v>-</v>
      </c>
      <c r="J185" s="304" t="s">
        <v>963</v>
      </c>
      <c r="K185" s="305" t="str">
        <f>IF(ISNUMBER(J185),J185/365,"-")</f>
        <v>-</v>
      </c>
      <c r="L185" s="304" t="s">
        <v>963</v>
      </c>
      <c r="M185" s="305" t="str">
        <f>IF(ISNUMBER(L185),L185/365,"-")</f>
        <v>-</v>
      </c>
      <c r="N185" s="304" t="s">
        <v>963</v>
      </c>
      <c r="O185" s="305" t="str">
        <f>IF(ISNUMBER(N185),N185/365,"-")</f>
        <v>-</v>
      </c>
    </row>
    <row r="186" spans="1:15" ht="12.75">
      <c r="A186" s="187" t="s">
        <v>404</v>
      </c>
      <c r="B186" s="236">
        <v>2.4895</v>
      </c>
      <c r="C186" s="236">
        <v>3.3559</v>
      </c>
      <c r="D186" s="304">
        <f>EXP(8.87-1.93*$B186)/365</f>
        <v>0.15967219388854176</v>
      </c>
      <c r="E186" s="305">
        <f>EXP(8.87-1.93*$C186)/365</f>
        <v>0.02999320708130321</v>
      </c>
      <c r="F186" s="304" t="s">
        <v>963</v>
      </c>
      <c r="G186" s="305" t="str">
        <f>IF(ISNUMBER(F186),F186/365,"-")</f>
        <v>-</v>
      </c>
      <c r="H186" s="304" t="s">
        <v>963</v>
      </c>
      <c r="I186" s="305" t="str">
        <f>IF(ISNUMBER(H186),H186/365,"-")</f>
        <v>-</v>
      </c>
      <c r="J186" s="304" t="s">
        <v>963</v>
      </c>
      <c r="K186" s="305" t="str">
        <f>IF(ISNUMBER(J186),J186/365,"-")</f>
        <v>-</v>
      </c>
      <c r="L186" s="304" t="s">
        <v>963</v>
      </c>
      <c r="M186" s="305" t="str">
        <f>IF(ISNUMBER(L186),L186/365,"-")</f>
        <v>-</v>
      </c>
      <c r="N186" s="304" t="s">
        <v>963</v>
      </c>
      <c r="O186" s="305" t="str">
        <f>IF(ISNUMBER(N186),N186/365,"-")</f>
        <v>-</v>
      </c>
    </row>
    <row r="187" spans="1:15" ht="13.5" thickBot="1">
      <c r="A187" s="306"/>
      <c r="B187" s="237"/>
      <c r="C187" s="237"/>
      <c r="D187" s="307"/>
      <c r="E187" s="308"/>
      <c r="F187" s="307"/>
      <c r="G187" s="308"/>
      <c r="H187" s="308"/>
      <c r="I187" s="308"/>
      <c r="J187" s="307"/>
      <c r="K187" s="308"/>
      <c r="L187" s="308"/>
      <c r="M187" s="308"/>
      <c r="N187" s="308"/>
      <c r="O187" s="308"/>
    </row>
    <row r="188" spans="1:15" ht="12.75">
      <c r="A188" s="154" t="s">
        <v>403</v>
      </c>
      <c r="B188" s="236"/>
      <c r="C188" s="236"/>
      <c r="D188" s="304"/>
      <c r="E188" s="305"/>
      <c r="F188" s="304"/>
      <c r="G188" s="305"/>
      <c r="H188" s="305"/>
      <c r="I188" s="305"/>
      <c r="J188" s="304"/>
      <c r="K188" s="305"/>
      <c r="L188" s="305"/>
      <c r="M188" s="305"/>
      <c r="N188" s="305"/>
      <c r="O188" s="305"/>
    </row>
    <row r="189" spans="1:15" ht="12.75">
      <c r="A189" s="187" t="s">
        <v>405</v>
      </c>
      <c r="B189" s="236">
        <v>2.2884</v>
      </c>
      <c r="C189" s="236">
        <v>3.2382</v>
      </c>
      <c r="D189" s="304">
        <f>EXP(8.87-1.93*$B189)/365</f>
        <v>0.23539052076785721</v>
      </c>
      <c r="E189" s="305">
        <f>EXP(8.87-1.93*$C189)/365</f>
        <v>0.03764243202465456</v>
      </c>
      <c r="F189" s="304" t="s">
        <v>963</v>
      </c>
      <c r="G189" s="305" t="str">
        <f>IF(ISNUMBER(F189),F189/365,"-")</f>
        <v>-</v>
      </c>
      <c r="H189" s="304" t="s">
        <v>963</v>
      </c>
      <c r="I189" s="305" t="str">
        <f>IF(ISNUMBER(H189),H189/365,"-")</f>
        <v>-</v>
      </c>
      <c r="J189" s="304" t="s">
        <v>963</v>
      </c>
      <c r="K189" s="305" t="str">
        <f>IF(ISNUMBER(J189),J189/365,"-")</f>
        <v>-</v>
      </c>
      <c r="L189" s="304" t="s">
        <v>963</v>
      </c>
      <c r="M189" s="305" t="str">
        <f>IF(ISNUMBER(L189),L189/365,"-")</f>
        <v>-</v>
      </c>
      <c r="N189" s="304" t="s">
        <v>963</v>
      </c>
      <c r="O189" s="305" t="str">
        <f>IF(ISNUMBER(N189),N189/365,"-")</f>
        <v>-</v>
      </c>
    </row>
    <row r="190" spans="1:15" ht="12.75">
      <c r="A190" s="187" t="s">
        <v>407</v>
      </c>
      <c r="B190" s="236">
        <v>2.7083</v>
      </c>
      <c r="C190" s="236">
        <v>3.5273</v>
      </c>
      <c r="D190" s="304">
        <f>EXP(8.87-1.93*$B190)/365</f>
        <v>0.10467276139146843</v>
      </c>
      <c r="E190" s="305">
        <f>EXP(8.87-1.93*$C190)/365</f>
        <v>0.021545541956895824</v>
      </c>
      <c r="F190" s="304" t="s">
        <v>963</v>
      </c>
      <c r="G190" s="305" t="str">
        <f>IF(ISNUMBER(F190),F190/365,"-")</f>
        <v>-</v>
      </c>
      <c r="H190" s="304" t="s">
        <v>963</v>
      </c>
      <c r="I190" s="305" t="str">
        <f>IF(ISNUMBER(H190),H190/365,"-")</f>
        <v>-</v>
      </c>
      <c r="J190" s="304" t="s">
        <v>963</v>
      </c>
      <c r="K190" s="305" t="str">
        <f>IF(ISNUMBER(J190),J190/365,"-")</f>
        <v>-</v>
      </c>
      <c r="L190" s="304" t="s">
        <v>963</v>
      </c>
      <c r="M190" s="305" t="str">
        <f>IF(ISNUMBER(L190),L190/365,"-")</f>
        <v>-</v>
      </c>
      <c r="N190" s="304" t="s">
        <v>963</v>
      </c>
      <c r="O190" s="305" t="str">
        <f>IF(ISNUMBER(N190),N190/365,"-")</f>
        <v>-</v>
      </c>
    </row>
    <row r="191" spans="1:15" ht="12.75">
      <c r="A191" s="187" t="s">
        <v>408</v>
      </c>
      <c r="B191" s="236">
        <v>1.0761</v>
      </c>
      <c r="C191" s="236">
        <v>2.4554</v>
      </c>
      <c r="D191" s="304">
        <f>EXP(8.87-1.93*$B191)/365</f>
        <v>2.4430069726786225</v>
      </c>
      <c r="E191" s="305">
        <f>EXP(8.87-1.93*$C191)/365</f>
        <v>0.1705342106209716</v>
      </c>
      <c r="F191" s="304" t="s">
        <v>963</v>
      </c>
      <c r="G191" s="305" t="str">
        <f>IF(ISNUMBER(F191),F191/365,"-")</f>
        <v>-</v>
      </c>
      <c r="H191" s="304" t="s">
        <v>963</v>
      </c>
      <c r="I191" s="305" t="str">
        <f>IF(ISNUMBER(H191),H191/365,"-")</f>
        <v>-</v>
      </c>
      <c r="J191" s="304" t="s">
        <v>963</v>
      </c>
      <c r="K191" s="305" t="str">
        <f>IF(ISNUMBER(J191),J191/365,"-")</f>
        <v>-</v>
      </c>
      <c r="L191" s="304" t="s">
        <v>963</v>
      </c>
      <c r="M191" s="305" t="str">
        <f>IF(ISNUMBER(L191),L191/365,"-")</f>
        <v>-</v>
      </c>
      <c r="N191" s="304" t="s">
        <v>963</v>
      </c>
      <c r="O191" s="305" t="str">
        <f>IF(ISNUMBER(N191),N191/365,"-")</f>
        <v>-</v>
      </c>
    </row>
    <row r="192" spans="1:15" ht="12.75">
      <c r="A192" s="187" t="s">
        <v>409</v>
      </c>
      <c r="B192" s="236">
        <v>2.0558</v>
      </c>
      <c r="C192" s="236">
        <v>3.1083</v>
      </c>
      <c r="D192" s="304">
        <f>EXP(8.87-1.93*$B192)/365</f>
        <v>0.36876660066735517</v>
      </c>
      <c r="E192" s="305">
        <f>EXP(8.87-1.93*$C192)/365</f>
        <v>0.04836802357275722</v>
      </c>
      <c r="F192" s="304" t="s">
        <v>963</v>
      </c>
      <c r="G192" s="305" t="str">
        <f>IF(ISNUMBER(F192),F192/365,"-")</f>
        <v>-</v>
      </c>
      <c r="H192" s="304" t="s">
        <v>963</v>
      </c>
      <c r="I192" s="305" t="str">
        <f>IF(ISNUMBER(H192),H192/365,"-")</f>
        <v>-</v>
      </c>
      <c r="J192" s="304" t="s">
        <v>963</v>
      </c>
      <c r="K192" s="305" t="str">
        <f>IF(ISNUMBER(J192),J192/365,"-")</f>
        <v>-</v>
      </c>
      <c r="L192" s="304" t="s">
        <v>963</v>
      </c>
      <c r="M192" s="305" t="str">
        <f>IF(ISNUMBER(L192),L192/365,"-")</f>
        <v>-</v>
      </c>
      <c r="N192" s="304" t="s">
        <v>963</v>
      </c>
      <c r="O192" s="305" t="str">
        <f>IF(ISNUMBER(N192),N192/365,"-")</f>
        <v>-</v>
      </c>
    </row>
    <row r="193" spans="1:15" ht="12.75">
      <c r="A193" s="121" t="s">
        <v>410</v>
      </c>
      <c r="B193" s="236">
        <v>2.5447</v>
      </c>
      <c r="C193" s="236">
        <v>3.4205</v>
      </c>
      <c r="D193" s="304">
        <f>EXP(8.87-1.93*$B193)/365</f>
        <v>0.14353615079652007</v>
      </c>
      <c r="E193" s="305">
        <f>EXP(8.87-1.93*$C193)/365</f>
        <v>0.02647743670995308</v>
      </c>
      <c r="F193" s="304" t="s">
        <v>963</v>
      </c>
      <c r="G193" s="305" t="str">
        <f>IF(ISNUMBER(F193),F193/365,"-")</f>
        <v>-</v>
      </c>
      <c r="H193" s="304" t="s">
        <v>963</v>
      </c>
      <c r="I193" s="305" t="str">
        <f>IF(ISNUMBER(H193),H193/365,"-")</f>
        <v>-</v>
      </c>
      <c r="J193" s="304" t="s">
        <v>963</v>
      </c>
      <c r="K193" s="305" t="str">
        <f>IF(ISNUMBER(J193),J193/365,"-")</f>
        <v>-</v>
      </c>
      <c r="L193" s="304" t="s">
        <v>963</v>
      </c>
      <c r="M193" s="305" t="str">
        <f>IF(ISNUMBER(L193),L193/365,"-")</f>
        <v>-</v>
      </c>
      <c r="N193" s="304" t="s">
        <v>963</v>
      </c>
      <c r="O193" s="305" t="str">
        <f>IF(ISNUMBER(N193),N193/365,"-")</f>
        <v>-</v>
      </c>
    </row>
    <row r="194" spans="1:15" ht="13.5" thickBot="1">
      <c r="A194" s="124"/>
      <c r="B194" s="237"/>
      <c r="C194" s="237"/>
      <c r="D194" s="307"/>
      <c r="E194" s="308"/>
      <c r="F194" s="307"/>
      <c r="G194" s="308"/>
      <c r="H194" s="308"/>
      <c r="I194" s="308"/>
      <c r="J194" s="307"/>
      <c r="K194" s="308"/>
      <c r="L194" s="308"/>
      <c r="M194" s="308"/>
      <c r="N194" s="308"/>
      <c r="O194" s="308"/>
    </row>
    <row r="195" spans="1:15" ht="12.75">
      <c r="A195" s="154" t="s">
        <v>807</v>
      </c>
      <c r="B195" s="236"/>
      <c r="C195" s="236"/>
      <c r="D195" s="304"/>
      <c r="E195" s="305"/>
      <c r="F195" s="304"/>
      <c r="G195" s="305"/>
      <c r="H195" s="305"/>
      <c r="I195" s="305"/>
      <c r="J195" s="304"/>
      <c r="K195" s="305"/>
      <c r="L195" s="305"/>
      <c r="M195" s="305"/>
      <c r="N195" s="305"/>
      <c r="O195" s="305"/>
    </row>
    <row r="196" spans="1:15" ht="12.75">
      <c r="A196" s="187" t="s">
        <v>808</v>
      </c>
      <c r="B196" s="236">
        <v>2.9332</v>
      </c>
      <c r="C196" s="236">
        <v>3.6571</v>
      </c>
      <c r="D196" s="304">
        <f aca="true" t="shared" si="64" ref="D196:D202">EXP(8.87-1.93*$B196)/365</f>
        <v>0.06781489936159521</v>
      </c>
      <c r="E196" s="305">
        <f aca="true" t="shared" si="65" ref="E196:E202">EXP(8.87-1.93*$C196)/365</f>
        <v>0.016771062405848244</v>
      </c>
      <c r="F196" s="304">
        <v>7.08</v>
      </c>
      <c r="G196" s="305">
        <f aca="true" t="shared" si="66" ref="G196:G202">IF(ISNUMBER(F196),F196/365,"-")</f>
        <v>0.019397260273972605</v>
      </c>
      <c r="H196" s="305">
        <v>7.08</v>
      </c>
      <c r="I196" s="305">
        <f aca="true" t="shared" si="67" ref="I196:I202">IF(ISNUMBER(H196),H196/365,"-")</f>
        <v>0.019397260273972605</v>
      </c>
      <c r="J196" s="304">
        <v>7.08</v>
      </c>
      <c r="K196" s="305">
        <f aca="true" t="shared" si="68" ref="K196:K202">IF(ISNUMBER(J196),J196/365,"-")</f>
        <v>0.019397260273972605</v>
      </c>
      <c r="L196" s="305">
        <v>7.08</v>
      </c>
      <c r="M196" s="305">
        <f aca="true" t="shared" si="69" ref="M196:M202">IF(ISNUMBER(L196),L196/365,"-")</f>
        <v>0.019397260273972605</v>
      </c>
      <c r="N196" s="305">
        <v>22.9</v>
      </c>
      <c r="O196" s="305">
        <f aca="true" t="shared" si="70" ref="O196:O202">IF(ISNUMBER(N196),N196/365,"-")</f>
        <v>0.06273972602739726</v>
      </c>
    </row>
    <row r="197" spans="1:15" ht="12.75">
      <c r="A197" s="187" t="s">
        <v>809</v>
      </c>
      <c r="B197" s="236">
        <v>2.6839</v>
      </c>
      <c r="C197" s="236">
        <v>3.5068</v>
      </c>
      <c r="D197" s="304">
        <f t="shared" si="64"/>
        <v>0.10971991873374427</v>
      </c>
      <c r="E197" s="305">
        <f t="shared" si="65"/>
        <v>0.022415079523904168</v>
      </c>
      <c r="F197" s="304" t="s">
        <v>963</v>
      </c>
      <c r="G197" s="305" t="str">
        <f t="shared" si="66"/>
        <v>-</v>
      </c>
      <c r="H197" s="304" t="s">
        <v>963</v>
      </c>
      <c r="I197" s="305" t="str">
        <f t="shared" si="67"/>
        <v>-</v>
      </c>
      <c r="J197" s="304" t="s">
        <v>963</v>
      </c>
      <c r="K197" s="305" t="str">
        <f t="shared" si="68"/>
        <v>-</v>
      </c>
      <c r="L197" s="304" t="s">
        <v>963</v>
      </c>
      <c r="M197" s="305" t="str">
        <f t="shared" si="69"/>
        <v>-</v>
      </c>
      <c r="N197" s="304" t="s">
        <v>963</v>
      </c>
      <c r="O197" s="305" t="str">
        <f t="shared" si="70"/>
        <v>-</v>
      </c>
    </row>
    <row r="198" spans="1:15" ht="12.75">
      <c r="A198" s="187" t="s">
        <v>814</v>
      </c>
      <c r="B198" s="236">
        <v>2.6585</v>
      </c>
      <c r="C198" s="236">
        <v>3.4785</v>
      </c>
      <c r="D198" s="304">
        <f t="shared" si="64"/>
        <v>0.11523262662561995</v>
      </c>
      <c r="E198" s="305">
        <f t="shared" si="65"/>
        <v>0.023673420606487798</v>
      </c>
      <c r="F198" s="304" t="s">
        <v>963</v>
      </c>
      <c r="G198" s="305" t="str">
        <f t="shared" si="66"/>
        <v>-</v>
      </c>
      <c r="H198" s="304" t="s">
        <v>963</v>
      </c>
      <c r="I198" s="305" t="str">
        <f t="shared" si="67"/>
        <v>-</v>
      </c>
      <c r="J198" s="304" t="s">
        <v>963</v>
      </c>
      <c r="K198" s="305" t="str">
        <f t="shared" si="68"/>
        <v>-</v>
      </c>
      <c r="L198" s="304" t="s">
        <v>963</v>
      </c>
      <c r="M198" s="305" t="str">
        <f t="shared" si="69"/>
        <v>-</v>
      </c>
      <c r="N198" s="304" t="s">
        <v>963</v>
      </c>
      <c r="O198" s="305" t="str">
        <f t="shared" si="70"/>
        <v>-</v>
      </c>
    </row>
    <row r="199" spans="1:15" ht="12.75">
      <c r="A199" s="187" t="s">
        <v>826</v>
      </c>
      <c r="B199" s="236">
        <v>2.6793</v>
      </c>
      <c r="C199" s="236">
        <v>3.4894</v>
      </c>
      <c r="D199" s="304">
        <f t="shared" si="64"/>
        <v>0.11069834899764724</v>
      </c>
      <c r="E199" s="305">
        <f t="shared" si="65"/>
        <v>0.02318060471586049</v>
      </c>
      <c r="F199" s="304" t="s">
        <v>963</v>
      </c>
      <c r="G199" s="305" t="str">
        <f t="shared" si="66"/>
        <v>-</v>
      </c>
      <c r="H199" s="304" t="s">
        <v>963</v>
      </c>
      <c r="I199" s="305" t="str">
        <f t="shared" si="67"/>
        <v>-</v>
      </c>
      <c r="J199" s="304" t="s">
        <v>963</v>
      </c>
      <c r="K199" s="305" t="str">
        <f t="shared" si="68"/>
        <v>-</v>
      </c>
      <c r="L199" s="304" t="s">
        <v>963</v>
      </c>
      <c r="M199" s="305" t="str">
        <f t="shared" si="69"/>
        <v>-</v>
      </c>
      <c r="N199" s="304" t="s">
        <v>963</v>
      </c>
      <c r="O199" s="305" t="str">
        <f t="shared" si="70"/>
        <v>-</v>
      </c>
    </row>
    <row r="200" spans="1:15" ht="12.75">
      <c r="A200" s="187" t="s">
        <v>819</v>
      </c>
      <c r="B200" s="236">
        <v>2.5013</v>
      </c>
      <c r="C200" s="236">
        <v>3.417</v>
      </c>
      <c r="D200" s="304">
        <f t="shared" si="64"/>
        <v>0.15607691418605865</v>
      </c>
      <c r="E200" s="305">
        <f t="shared" si="65"/>
        <v>0.026656897240472124</v>
      </c>
      <c r="F200" s="304" t="s">
        <v>963</v>
      </c>
      <c r="G200" s="305" t="str">
        <f t="shared" si="66"/>
        <v>-</v>
      </c>
      <c r="H200" s="304" t="s">
        <v>963</v>
      </c>
      <c r="I200" s="305" t="str">
        <f t="shared" si="67"/>
        <v>-</v>
      </c>
      <c r="J200" s="304" t="s">
        <v>963</v>
      </c>
      <c r="K200" s="305" t="str">
        <f t="shared" si="68"/>
        <v>-</v>
      </c>
      <c r="L200" s="304" t="s">
        <v>963</v>
      </c>
      <c r="M200" s="305" t="str">
        <f t="shared" si="69"/>
        <v>-</v>
      </c>
      <c r="N200" s="304" t="s">
        <v>963</v>
      </c>
      <c r="O200" s="305" t="str">
        <f t="shared" si="70"/>
        <v>-</v>
      </c>
    </row>
    <row r="201" spans="1:15" ht="12.75">
      <c r="A201" s="187" t="s">
        <v>820</v>
      </c>
      <c r="B201" s="236">
        <v>2.4508</v>
      </c>
      <c r="C201" s="236">
        <v>3.3389</v>
      </c>
      <c r="D201" s="304">
        <f t="shared" si="64"/>
        <v>0.17205495393383582</v>
      </c>
      <c r="E201" s="305">
        <f t="shared" si="65"/>
        <v>0.030993606007845554</v>
      </c>
      <c r="F201" s="304" t="s">
        <v>963</v>
      </c>
      <c r="G201" s="305" t="str">
        <f t="shared" si="66"/>
        <v>-</v>
      </c>
      <c r="H201" s="304" t="s">
        <v>963</v>
      </c>
      <c r="I201" s="305" t="str">
        <f t="shared" si="67"/>
        <v>-</v>
      </c>
      <c r="J201" s="304" t="s">
        <v>963</v>
      </c>
      <c r="K201" s="305" t="str">
        <f t="shared" si="68"/>
        <v>-</v>
      </c>
      <c r="L201" s="304" t="s">
        <v>963</v>
      </c>
      <c r="M201" s="305" t="str">
        <f t="shared" si="69"/>
        <v>-</v>
      </c>
      <c r="N201" s="304" t="s">
        <v>963</v>
      </c>
      <c r="O201" s="305" t="str">
        <f t="shared" si="70"/>
        <v>-</v>
      </c>
    </row>
    <row r="202" spans="1:15" ht="12.75">
      <c r="A202" s="187" t="s">
        <v>823</v>
      </c>
      <c r="B202" s="236">
        <v>2.7285</v>
      </c>
      <c r="C202" s="236">
        <v>3.531</v>
      </c>
      <c r="D202" s="304">
        <f t="shared" si="64"/>
        <v>0.10067051187385372</v>
      </c>
      <c r="E202" s="305">
        <f t="shared" si="65"/>
        <v>0.021392233281888887</v>
      </c>
      <c r="F202" s="304" t="s">
        <v>963</v>
      </c>
      <c r="G202" s="305" t="str">
        <f t="shared" si="66"/>
        <v>-</v>
      </c>
      <c r="H202" s="304" t="s">
        <v>963</v>
      </c>
      <c r="I202" s="305" t="str">
        <f t="shared" si="67"/>
        <v>-</v>
      </c>
      <c r="J202" s="304" t="s">
        <v>963</v>
      </c>
      <c r="K202" s="305" t="str">
        <f t="shared" si="68"/>
        <v>-</v>
      </c>
      <c r="L202" s="304" t="s">
        <v>963</v>
      </c>
      <c r="M202" s="305" t="str">
        <f t="shared" si="69"/>
        <v>-</v>
      </c>
      <c r="N202" s="304" t="s">
        <v>963</v>
      </c>
      <c r="O202" s="305" t="str">
        <f t="shared" si="70"/>
        <v>-</v>
      </c>
    </row>
    <row r="203" spans="1:15" ht="13.5" thickBot="1">
      <c r="A203" s="155"/>
      <c r="B203" s="237"/>
      <c r="C203" s="237"/>
      <c r="D203" s="307"/>
      <c r="E203" s="308"/>
      <c r="F203" s="307"/>
      <c r="G203" s="308"/>
      <c r="H203" s="308"/>
      <c r="I203" s="308"/>
      <c r="J203" s="307"/>
      <c r="K203" s="308"/>
      <c r="L203" s="308"/>
      <c r="M203" s="308"/>
      <c r="N203" s="308"/>
      <c r="O203" s="308"/>
    </row>
    <row r="204" spans="1:15" ht="12.75">
      <c r="A204" s="154" t="s">
        <v>829</v>
      </c>
      <c r="B204" s="236"/>
      <c r="C204" s="236"/>
      <c r="D204" s="304"/>
      <c r="E204" s="305"/>
      <c r="F204" s="304"/>
      <c r="G204" s="305"/>
      <c r="H204" s="305"/>
      <c r="I204" s="305"/>
      <c r="J204" s="304"/>
      <c r="K204" s="305"/>
      <c r="L204" s="305"/>
      <c r="M204" s="305"/>
      <c r="N204" s="305"/>
      <c r="O204" s="305"/>
    </row>
    <row r="205" spans="1:15" ht="12.75">
      <c r="A205" s="121" t="s">
        <v>455</v>
      </c>
      <c r="B205" s="236">
        <v>2.8129</v>
      </c>
      <c r="C205" s="236">
        <v>3.6039</v>
      </c>
      <c r="D205" s="304">
        <f>EXP(8.87-1.93*$B205)/365</f>
        <v>0.08553801742825498</v>
      </c>
      <c r="E205" s="305">
        <f>EXP(8.87-1.93*$C205)/365</f>
        <v>0.01858455622617156</v>
      </c>
      <c r="F205" s="304" t="s">
        <v>963</v>
      </c>
      <c r="G205" s="305" t="str">
        <f aca="true" t="shared" si="71" ref="G205:O205">IF(ISNUMBER(F205),F205/365,"-")</f>
        <v>-</v>
      </c>
      <c r="H205" s="304" t="s">
        <v>963</v>
      </c>
      <c r="I205" s="305" t="str">
        <f t="shared" si="71"/>
        <v>-</v>
      </c>
      <c r="J205" s="304" t="s">
        <v>963</v>
      </c>
      <c r="K205" s="305" t="str">
        <f t="shared" si="71"/>
        <v>-</v>
      </c>
      <c r="L205" s="304" t="s">
        <v>963</v>
      </c>
      <c r="M205" s="305" t="str">
        <f t="shared" si="71"/>
        <v>-</v>
      </c>
      <c r="N205" s="304" t="s">
        <v>963</v>
      </c>
      <c r="O205" s="305" t="str">
        <f t="shared" si="71"/>
        <v>-</v>
      </c>
    </row>
    <row r="206" spans="1:15" ht="13.5" thickBot="1">
      <c r="A206" s="197"/>
      <c r="B206" s="238"/>
      <c r="C206" s="238"/>
      <c r="D206" s="307"/>
      <c r="E206" s="308"/>
      <c r="F206" s="307"/>
      <c r="G206" s="308"/>
      <c r="H206" s="308"/>
      <c r="I206" s="308"/>
      <c r="J206" s="307"/>
      <c r="K206" s="308"/>
      <c r="L206" s="308"/>
      <c r="M206" s="308"/>
      <c r="N206" s="308"/>
      <c r="O206" s="308"/>
    </row>
  </sheetData>
  <sheetProtection password="9C67" sheet="1" objects="1" scenarios="1" selectLockedCells="1"/>
  <printOptions/>
  <pageMargins left="0.75" right="0.75" top="1" bottom="1" header="0.4921259845" footer="0.4921259845"/>
  <pageSetup fitToHeight="5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T48"/>
  <sheetViews>
    <sheetView zoomScale="95" zoomScaleNormal="95" workbookViewId="0" topLeftCell="A1">
      <selection activeCell="D10" sqref="D10"/>
    </sheetView>
  </sheetViews>
  <sheetFormatPr defaultColWidth="11.421875" defaultRowHeight="12.75"/>
  <cols>
    <col min="1" max="1" width="30.57421875" style="36" customWidth="1"/>
    <col min="2" max="2" width="10.421875" style="36" customWidth="1"/>
    <col min="3" max="3" width="11.421875" style="36" customWidth="1"/>
    <col min="4" max="4" width="13.8515625" style="36" customWidth="1"/>
    <col min="5" max="5" width="10.00390625" style="36" hidden="1" customWidth="1"/>
    <col min="6" max="6" width="13.8515625" style="36" customWidth="1"/>
    <col min="7" max="7" width="8.7109375" style="36" hidden="1" customWidth="1"/>
    <col min="8" max="8" width="20.140625" style="36" customWidth="1"/>
    <col min="9" max="9" width="9.28125" style="36" hidden="1" customWidth="1"/>
    <col min="10" max="10" width="17.28125" style="36" customWidth="1"/>
    <col min="11" max="11" width="13.421875" style="36" hidden="1" customWidth="1"/>
    <col min="12" max="12" width="14.28125" style="36" hidden="1" customWidth="1"/>
    <col min="13" max="13" width="13.28125" style="36" hidden="1" customWidth="1"/>
    <col min="14" max="14" width="13.57421875" style="36" hidden="1" customWidth="1"/>
    <col min="15" max="15" width="12.421875" style="36" hidden="1" customWidth="1"/>
    <col min="16" max="17" width="11.421875" style="36" hidden="1" customWidth="1"/>
    <col min="18" max="16384" width="11.421875" style="36" customWidth="1"/>
  </cols>
  <sheetData>
    <row r="1" ht="15.75">
      <c r="A1" s="105" t="s">
        <v>968</v>
      </c>
    </row>
    <row r="2" ht="15.75">
      <c r="A2" s="105"/>
    </row>
    <row r="3" ht="12.75">
      <c r="A3" s="96" t="s">
        <v>178</v>
      </c>
    </row>
    <row r="4" s="47" customFormat="1" ht="12.75">
      <c r="A4" s="45" t="s">
        <v>1060</v>
      </c>
    </row>
    <row r="5" s="47" customFormat="1" ht="12.75">
      <c r="A5" s="45" t="s">
        <v>1061</v>
      </c>
    </row>
    <row r="6" s="47" customFormat="1" ht="12.75">
      <c r="A6" s="45" t="s">
        <v>1150</v>
      </c>
    </row>
    <row r="7" ht="15.75">
      <c r="A7" s="105"/>
    </row>
    <row r="8" ht="13.5" thickBot="1">
      <c r="D8" s="45"/>
    </row>
    <row r="9" spans="1:4" ht="16.5" thickBot="1">
      <c r="A9" s="464" t="s">
        <v>862</v>
      </c>
      <c r="B9" s="465" t="s">
        <v>67</v>
      </c>
      <c r="C9" s="465" t="s">
        <v>1</v>
      </c>
      <c r="D9" s="465" t="s">
        <v>30</v>
      </c>
    </row>
    <row r="10" spans="1:4" ht="12.75">
      <c r="A10" s="466" t="s">
        <v>1122</v>
      </c>
      <c r="B10" s="318"/>
      <c r="C10" s="318"/>
      <c r="D10" s="560" t="s">
        <v>415</v>
      </c>
    </row>
    <row r="11" spans="1:4" ht="12.75">
      <c r="A11" s="466" t="s">
        <v>110</v>
      </c>
      <c r="B11" s="318"/>
      <c r="C11" s="318"/>
      <c r="D11" s="560" t="s">
        <v>1123</v>
      </c>
    </row>
    <row r="12" spans="1:4" ht="12.75">
      <c r="A12" s="466" t="s">
        <v>17</v>
      </c>
      <c r="B12" s="318" t="s">
        <v>171</v>
      </c>
      <c r="C12" s="318" t="s">
        <v>861</v>
      </c>
      <c r="D12" s="560">
        <v>300</v>
      </c>
    </row>
    <row r="13" spans="1:4" ht="12.75">
      <c r="A13" s="466" t="s">
        <v>866</v>
      </c>
      <c r="B13" s="318" t="s">
        <v>867</v>
      </c>
      <c r="C13" s="318" t="s">
        <v>570</v>
      </c>
      <c r="D13" s="562">
        <v>0.2303</v>
      </c>
    </row>
    <row r="14" spans="1:4" ht="14.25">
      <c r="A14" s="466" t="s">
        <v>868</v>
      </c>
      <c r="B14" s="318" t="s">
        <v>873</v>
      </c>
      <c r="C14" s="318" t="s">
        <v>987</v>
      </c>
      <c r="D14" s="240">
        <v>0.025</v>
      </c>
    </row>
    <row r="15" spans="1:4" ht="14.25">
      <c r="A15" s="466" t="s">
        <v>950</v>
      </c>
      <c r="B15" s="318" t="s">
        <v>874</v>
      </c>
      <c r="C15" s="318" t="s">
        <v>987</v>
      </c>
      <c r="D15" s="240">
        <v>248.565</v>
      </c>
    </row>
    <row r="16" spans="1:4" ht="13.5" thickBot="1">
      <c r="A16" s="467" t="s">
        <v>219</v>
      </c>
      <c r="B16" s="319" t="s">
        <v>880</v>
      </c>
      <c r="C16" s="319" t="s">
        <v>570</v>
      </c>
      <c r="D16" s="561">
        <v>0.1</v>
      </c>
    </row>
    <row r="17" ht="13.5" thickBot="1"/>
    <row r="18" spans="1:17" ht="15.75">
      <c r="A18" s="468" t="s">
        <v>837</v>
      </c>
      <c r="B18" s="145" t="s">
        <v>838</v>
      </c>
      <c r="C18" s="145" t="s">
        <v>839</v>
      </c>
      <c r="D18" s="145" t="s">
        <v>6</v>
      </c>
      <c r="E18" s="145"/>
      <c r="F18" s="145" t="s">
        <v>836</v>
      </c>
      <c r="G18" s="145"/>
      <c r="H18" s="145" t="s">
        <v>842</v>
      </c>
      <c r="I18" s="145"/>
      <c r="J18" s="145" t="s">
        <v>845</v>
      </c>
      <c r="K18" s="145" t="s">
        <v>843</v>
      </c>
      <c r="L18" s="145" t="s">
        <v>849</v>
      </c>
      <c r="M18" s="145" t="s">
        <v>849</v>
      </c>
      <c r="N18" s="145" t="s">
        <v>863</v>
      </c>
      <c r="O18" s="145"/>
      <c r="P18" s="145" t="s">
        <v>863</v>
      </c>
      <c r="Q18" s="145"/>
    </row>
    <row r="19" spans="1:17" ht="12.75">
      <c r="A19" s="149"/>
      <c r="B19" s="149" t="s">
        <v>988</v>
      </c>
      <c r="C19" s="149"/>
      <c r="D19" s="149"/>
      <c r="E19" s="149"/>
      <c r="F19" s="149"/>
      <c r="G19" s="149"/>
      <c r="H19" s="149"/>
      <c r="I19" s="149"/>
      <c r="J19" s="149" t="s">
        <v>846</v>
      </c>
      <c r="K19" s="149" t="s">
        <v>844</v>
      </c>
      <c r="L19" s="149" t="s">
        <v>850</v>
      </c>
      <c r="M19" s="149" t="s">
        <v>28</v>
      </c>
      <c r="N19" s="149" t="s">
        <v>864</v>
      </c>
      <c r="O19" s="149"/>
      <c r="P19" s="149" t="s">
        <v>865</v>
      </c>
      <c r="Q19" s="149"/>
    </row>
    <row r="20" spans="1:17" ht="12.75">
      <c r="A20" s="469" t="s">
        <v>848</v>
      </c>
      <c r="B20" s="470"/>
      <c r="C20" s="470" t="s">
        <v>859</v>
      </c>
      <c r="D20" s="470" t="s">
        <v>858</v>
      </c>
      <c r="E20" s="470" t="s">
        <v>857</v>
      </c>
      <c r="F20" s="470" t="s">
        <v>856</v>
      </c>
      <c r="G20" s="470" t="s">
        <v>855</v>
      </c>
      <c r="H20" s="471" t="s">
        <v>981</v>
      </c>
      <c r="I20" s="471" t="s">
        <v>982</v>
      </c>
      <c r="J20" s="470" t="s">
        <v>854</v>
      </c>
      <c r="K20" s="470" t="s">
        <v>853</v>
      </c>
      <c r="L20" s="470" t="s">
        <v>860</v>
      </c>
      <c r="M20" s="470" t="s">
        <v>852</v>
      </c>
      <c r="N20" s="471" t="s">
        <v>983</v>
      </c>
      <c r="O20" s="471" t="s">
        <v>984</v>
      </c>
      <c r="P20" s="471" t="s">
        <v>985</v>
      </c>
      <c r="Q20" s="472" t="s">
        <v>986</v>
      </c>
    </row>
    <row r="21" spans="1:17" ht="15" thickBot="1">
      <c r="A21" s="473"/>
      <c r="B21" s="473"/>
      <c r="C21" s="473" t="s">
        <v>840</v>
      </c>
      <c r="D21" s="473" t="s">
        <v>841</v>
      </c>
      <c r="E21" s="473"/>
      <c r="F21" s="473" t="s">
        <v>841</v>
      </c>
      <c r="G21" s="473"/>
      <c r="H21" s="473" t="s">
        <v>976</v>
      </c>
      <c r="I21" s="473"/>
      <c r="J21" s="473" t="s">
        <v>98</v>
      </c>
      <c r="K21" s="473" t="s">
        <v>570</v>
      </c>
      <c r="L21" s="473" t="s">
        <v>851</v>
      </c>
      <c r="M21" s="473" t="s">
        <v>851</v>
      </c>
      <c r="N21" s="473" t="s">
        <v>570</v>
      </c>
      <c r="O21" s="473"/>
      <c r="P21" s="473" t="s">
        <v>570</v>
      </c>
      <c r="Q21" s="473"/>
    </row>
    <row r="22" spans="1:17" ht="12.75">
      <c r="A22" s="318">
        <v>1</v>
      </c>
      <c r="B22" s="240" t="s">
        <v>294</v>
      </c>
      <c r="C22" s="240">
        <v>4</v>
      </c>
      <c r="D22" s="240">
        <v>27</v>
      </c>
      <c r="E22" s="608">
        <f>IF(ISNUMBER($C22),$D22*$C22,"-")</f>
        <v>108</v>
      </c>
      <c r="F22" s="240">
        <v>21</v>
      </c>
      <c r="G22" s="608">
        <f>IF(ISNUMBER($C22),$F22*$C22,"-")</f>
        <v>84</v>
      </c>
      <c r="H22" s="240">
        <v>1.6</v>
      </c>
      <c r="I22" s="608">
        <f>IF(ISNUMBER($C22),$H22*$C22,"-")</f>
        <v>6.4</v>
      </c>
      <c r="J22" s="240">
        <v>2.033</v>
      </c>
      <c r="K22" s="474">
        <f>IF(ISNUMBER($C22),1+$H22*$J22/($D22/100)+$F22/100*$D$13/($D22/100),"-")</f>
        <v>13.22652962962963</v>
      </c>
      <c r="L22" s="474">
        <f>IF(ISNUMBER($C22),$C22*$D22/100/($D$12/1000),"-")</f>
        <v>3.6000000000000005</v>
      </c>
      <c r="M22" s="474">
        <f aca="true" t="shared" si="0" ref="M22:M31">IF(ISNUMBER($C22),$L22*$K22,"-")</f>
        <v>47.615506666666676</v>
      </c>
      <c r="N22" s="474">
        <f>IF(ISNUMBER($C22),($D22/100)^(7/3)/(($D22/100)+($F22/100))^2,"-")</f>
        <v>0.2045029803428702</v>
      </c>
      <c r="O22" s="474">
        <f>IF(ISNUMBER($C22),$N22*$C22,"-")</f>
        <v>0.8180119213714808</v>
      </c>
      <c r="P22" s="474">
        <f>IF(ISNUMBER($C22),($F22/100)^(7/3)/(($D22/100)+($F22/100))^2,"-")</f>
        <v>0.11377038112710677</v>
      </c>
      <c r="Q22" s="474">
        <f>IF(ISNUMBER($C22),$P22*$C22,"-")</f>
        <v>0.4550815245084271</v>
      </c>
    </row>
    <row r="23" spans="1:17" ht="12.75">
      <c r="A23" s="318">
        <v>2</v>
      </c>
      <c r="B23" s="240"/>
      <c r="C23" s="240"/>
      <c r="D23" s="240"/>
      <c r="E23" s="608" t="str">
        <f>IF(ISNUMBER($C23),$D23*$C23,"-")</f>
        <v>-</v>
      </c>
      <c r="F23" s="240"/>
      <c r="G23" s="608" t="str">
        <f>IF(ISNUMBER($C23),$F23*$C23,"-")</f>
        <v>-</v>
      </c>
      <c r="H23" s="240"/>
      <c r="I23" s="608" t="str">
        <f>IF(ISNUMBER($C23),$H23*$C23,"-")</f>
        <v>-</v>
      </c>
      <c r="J23" s="240"/>
      <c r="K23" s="474" t="str">
        <f aca="true" t="shared" si="1" ref="K23:K31">IF(ISNUMBER($C23),1+$H23*$J23/($D23/100)+$F23/100*$D$13/($D23/100),"-")</f>
        <v>-</v>
      </c>
      <c r="L23" s="474" t="str">
        <f aca="true" t="shared" si="2" ref="L23:L31">IF(ISNUMBER($C23),$C23*$D23/100/($D$12/1000),"-")</f>
        <v>-</v>
      </c>
      <c r="M23" s="474" t="str">
        <f t="shared" si="0"/>
        <v>-</v>
      </c>
      <c r="N23" s="474" t="str">
        <f aca="true" t="shared" si="3" ref="N23:N31">IF(ISNUMBER($C23),($D23/100)^(7/3)/(($D23/100)+($F23/100))^2,"-")</f>
        <v>-</v>
      </c>
      <c r="O23" s="474" t="str">
        <f aca="true" t="shared" si="4" ref="O23:O31">IF(ISNUMBER($C23),$N23*$C23,"-")</f>
        <v>-</v>
      </c>
      <c r="P23" s="474" t="str">
        <f aca="true" t="shared" si="5" ref="P23:P31">IF(ISNUMBER($C23),($F23/100)^(7/3)/(($D23/100)+($F23/100))^2,"-")</f>
        <v>-</v>
      </c>
      <c r="Q23" s="474" t="str">
        <f aca="true" t="shared" si="6" ref="Q23:Q31">IF(ISNUMBER($C23),$P23*$C23,"-")</f>
        <v>-</v>
      </c>
    </row>
    <row r="24" spans="1:17" ht="12.75">
      <c r="A24" s="318">
        <v>3</v>
      </c>
      <c r="B24" s="240"/>
      <c r="C24" s="240"/>
      <c r="D24" s="240"/>
      <c r="E24" s="608" t="str">
        <f aca="true" t="shared" si="7" ref="E24:E31">IF(ISNUMBER($C24),$D24*$C24,"-")</f>
        <v>-</v>
      </c>
      <c r="F24" s="240"/>
      <c r="G24" s="608" t="str">
        <f aca="true" t="shared" si="8" ref="G24:G31">IF(ISNUMBER($C24),$F24*$C24,"-")</f>
        <v>-</v>
      </c>
      <c r="H24" s="240"/>
      <c r="I24" s="608" t="str">
        <f aca="true" t="shared" si="9" ref="I24:I31">IF(ISNUMBER($C24),$H24*$C24,"-")</f>
        <v>-</v>
      </c>
      <c r="J24" s="240"/>
      <c r="K24" s="474" t="str">
        <f t="shared" si="1"/>
        <v>-</v>
      </c>
      <c r="L24" s="474" t="str">
        <f t="shared" si="2"/>
        <v>-</v>
      </c>
      <c r="M24" s="474" t="str">
        <f t="shared" si="0"/>
        <v>-</v>
      </c>
      <c r="N24" s="474" t="str">
        <f t="shared" si="3"/>
        <v>-</v>
      </c>
      <c r="O24" s="474" t="str">
        <f t="shared" si="4"/>
        <v>-</v>
      </c>
      <c r="P24" s="474" t="str">
        <f t="shared" si="5"/>
        <v>-</v>
      </c>
      <c r="Q24" s="474" t="str">
        <f t="shared" si="6"/>
        <v>-</v>
      </c>
    </row>
    <row r="25" spans="1:17" ht="12.75">
      <c r="A25" s="318">
        <v>4</v>
      </c>
      <c r="B25" s="240"/>
      <c r="C25" s="240"/>
      <c r="D25" s="240"/>
      <c r="E25" s="608" t="str">
        <f t="shared" si="7"/>
        <v>-</v>
      </c>
      <c r="F25" s="240"/>
      <c r="G25" s="608" t="str">
        <f t="shared" si="8"/>
        <v>-</v>
      </c>
      <c r="H25" s="240"/>
      <c r="I25" s="608" t="str">
        <f t="shared" si="9"/>
        <v>-</v>
      </c>
      <c r="J25" s="240"/>
      <c r="K25" s="474" t="str">
        <f t="shared" si="1"/>
        <v>-</v>
      </c>
      <c r="L25" s="474" t="str">
        <f t="shared" si="2"/>
        <v>-</v>
      </c>
      <c r="M25" s="474" t="str">
        <f t="shared" si="0"/>
        <v>-</v>
      </c>
      <c r="N25" s="474" t="str">
        <f t="shared" si="3"/>
        <v>-</v>
      </c>
      <c r="O25" s="474" t="str">
        <f t="shared" si="4"/>
        <v>-</v>
      </c>
      <c r="P25" s="474" t="str">
        <f t="shared" si="5"/>
        <v>-</v>
      </c>
      <c r="Q25" s="474" t="str">
        <f t="shared" si="6"/>
        <v>-</v>
      </c>
    </row>
    <row r="26" spans="1:17" ht="12.75">
      <c r="A26" s="318">
        <v>5</v>
      </c>
      <c r="B26" s="240"/>
      <c r="C26" s="240"/>
      <c r="D26" s="240"/>
      <c r="E26" s="608" t="str">
        <f t="shared" si="7"/>
        <v>-</v>
      </c>
      <c r="F26" s="240"/>
      <c r="G26" s="608" t="str">
        <f t="shared" si="8"/>
        <v>-</v>
      </c>
      <c r="H26" s="240"/>
      <c r="I26" s="608" t="str">
        <f t="shared" si="9"/>
        <v>-</v>
      </c>
      <c r="J26" s="240"/>
      <c r="K26" s="474" t="str">
        <f t="shared" si="1"/>
        <v>-</v>
      </c>
      <c r="L26" s="474" t="str">
        <f t="shared" si="2"/>
        <v>-</v>
      </c>
      <c r="M26" s="474" t="str">
        <f t="shared" si="0"/>
        <v>-</v>
      </c>
      <c r="N26" s="474" t="str">
        <f t="shared" si="3"/>
        <v>-</v>
      </c>
      <c r="O26" s="474" t="str">
        <f t="shared" si="4"/>
        <v>-</v>
      </c>
      <c r="P26" s="474" t="str">
        <f t="shared" si="5"/>
        <v>-</v>
      </c>
      <c r="Q26" s="474" t="str">
        <f t="shared" si="6"/>
        <v>-</v>
      </c>
    </row>
    <row r="27" spans="1:17" ht="12.75">
      <c r="A27" s="318">
        <v>6</v>
      </c>
      <c r="B27" s="240"/>
      <c r="C27" s="240"/>
      <c r="D27" s="240"/>
      <c r="E27" s="608" t="str">
        <f t="shared" si="7"/>
        <v>-</v>
      </c>
      <c r="F27" s="240"/>
      <c r="G27" s="608" t="str">
        <f t="shared" si="8"/>
        <v>-</v>
      </c>
      <c r="H27" s="240"/>
      <c r="I27" s="608" t="str">
        <f t="shared" si="9"/>
        <v>-</v>
      </c>
      <c r="J27" s="240"/>
      <c r="K27" s="474" t="str">
        <f t="shared" si="1"/>
        <v>-</v>
      </c>
      <c r="L27" s="474" t="str">
        <f t="shared" si="2"/>
        <v>-</v>
      </c>
      <c r="M27" s="474" t="str">
        <f t="shared" si="0"/>
        <v>-</v>
      </c>
      <c r="N27" s="474" t="str">
        <f t="shared" si="3"/>
        <v>-</v>
      </c>
      <c r="O27" s="474" t="str">
        <f t="shared" si="4"/>
        <v>-</v>
      </c>
      <c r="P27" s="474" t="str">
        <f t="shared" si="5"/>
        <v>-</v>
      </c>
      <c r="Q27" s="474" t="str">
        <f t="shared" si="6"/>
        <v>-</v>
      </c>
    </row>
    <row r="28" spans="1:17" ht="12.75">
      <c r="A28" s="318">
        <v>7</v>
      </c>
      <c r="B28" s="240"/>
      <c r="C28" s="240"/>
      <c r="D28" s="240"/>
      <c r="E28" s="608" t="str">
        <f t="shared" si="7"/>
        <v>-</v>
      </c>
      <c r="F28" s="240"/>
      <c r="G28" s="608" t="str">
        <f t="shared" si="8"/>
        <v>-</v>
      </c>
      <c r="H28" s="240"/>
      <c r="I28" s="608" t="str">
        <f t="shared" si="9"/>
        <v>-</v>
      </c>
      <c r="J28" s="240"/>
      <c r="K28" s="474" t="str">
        <f t="shared" si="1"/>
        <v>-</v>
      </c>
      <c r="L28" s="474" t="str">
        <f t="shared" si="2"/>
        <v>-</v>
      </c>
      <c r="M28" s="474" t="str">
        <f t="shared" si="0"/>
        <v>-</v>
      </c>
      <c r="N28" s="474" t="str">
        <f t="shared" si="3"/>
        <v>-</v>
      </c>
      <c r="O28" s="474" t="str">
        <f t="shared" si="4"/>
        <v>-</v>
      </c>
      <c r="P28" s="474" t="str">
        <f t="shared" si="5"/>
        <v>-</v>
      </c>
      <c r="Q28" s="474" t="str">
        <f t="shared" si="6"/>
        <v>-</v>
      </c>
    </row>
    <row r="29" spans="1:17" ht="12.75">
      <c r="A29" s="318">
        <v>8</v>
      </c>
      <c r="B29" s="240"/>
      <c r="C29" s="240"/>
      <c r="D29" s="240"/>
      <c r="E29" s="608" t="str">
        <f t="shared" si="7"/>
        <v>-</v>
      </c>
      <c r="F29" s="240"/>
      <c r="G29" s="608" t="str">
        <f t="shared" si="8"/>
        <v>-</v>
      </c>
      <c r="H29" s="240"/>
      <c r="I29" s="608" t="str">
        <f t="shared" si="9"/>
        <v>-</v>
      </c>
      <c r="J29" s="240"/>
      <c r="K29" s="474" t="str">
        <f t="shared" si="1"/>
        <v>-</v>
      </c>
      <c r="L29" s="474" t="str">
        <f t="shared" si="2"/>
        <v>-</v>
      </c>
      <c r="M29" s="474" t="str">
        <f t="shared" si="0"/>
        <v>-</v>
      </c>
      <c r="N29" s="474" t="str">
        <f t="shared" si="3"/>
        <v>-</v>
      </c>
      <c r="O29" s="474" t="str">
        <f t="shared" si="4"/>
        <v>-</v>
      </c>
      <c r="P29" s="474" t="str">
        <f t="shared" si="5"/>
        <v>-</v>
      </c>
      <c r="Q29" s="474" t="str">
        <f t="shared" si="6"/>
        <v>-</v>
      </c>
    </row>
    <row r="30" spans="1:17" ht="12.75">
      <c r="A30" s="318">
        <v>9</v>
      </c>
      <c r="B30" s="240"/>
      <c r="C30" s="240"/>
      <c r="D30" s="240"/>
      <c r="E30" s="608" t="str">
        <f t="shared" si="7"/>
        <v>-</v>
      </c>
      <c r="F30" s="240"/>
      <c r="G30" s="608" t="str">
        <f t="shared" si="8"/>
        <v>-</v>
      </c>
      <c r="H30" s="240"/>
      <c r="I30" s="608" t="str">
        <f t="shared" si="9"/>
        <v>-</v>
      </c>
      <c r="J30" s="240"/>
      <c r="K30" s="474" t="str">
        <f t="shared" si="1"/>
        <v>-</v>
      </c>
      <c r="L30" s="474" t="str">
        <f t="shared" si="2"/>
        <v>-</v>
      </c>
      <c r="M30" s="474" t="str">
        <f t="shared" si="0"/>
        <v>-</v>
      </c>
      <c r="N30" s="474" t="str">
        <f t="shared" si="3"/>
        <v>-</v>
      </c>
      <c r="O30" s="474" t="str">
        <f t="shared" si="4"/>
        <v>-</v>
      </c>
      <c r="P30" s="474" t="str">
        <f t="shared" si="5"/>
        <v>-</v>
      </c>
      <c r="Q30" s="474" t="str">
        <f t="shared" si="6"/>
        <v>-</v>
      </c>
    </row>
    <row r="31" spans="1:17" ht="13.5" thickBot="1">
      <c r="A31" s="319">
        <v>10</v>
      </c>
      <c r="B31" s="241"/>
      <c r="C31" s="241"/>
      <c r="D31" s="241"/>
      <c r="E31" s="609" t="str">
        <f t="shared" si="7"/>
        <v>-</v>
      </c>
      <c r="F31" s="241"/>
      <c r="G31" s="609" t="str">
        <f t="shared" si="8"/>
        <v>-</v>
      </c>
      <c r="H31" s="241"/>
      <c r="I31" s="609" t="str">
        <f t="shared" si="9"/>
        <v>-</v>
      </c>
      <c r="J31" s="241"/>
      <c r="K31" s="475" t="str">
        <f t="shared" si="1"/>
        <v>-</v>
      </c>
      <c r="L31" s="475" t="str">
        <f t="shared" si="2"/>
        <v>-</v>
      </c>
      <c r="M31" s="475" t="str">
        <f t="shared" si="0"/>
        <v>-</v>
      </c>
      <c r="N31" s="475" t="str">
        <f t="shared" si="3"/>
        <v>-</v>
      </c>
      <c r="O31" s="475" t="str">
        <f t="shared" si="4"/>
        <v>-</v>
      </c>
      <c r="P31" s="475" t="str">
        <f t="shared" si="5"/>
        <v>-</v>
      </c>
      <c r="Q31" s="475" t="str">
        <f t="shared" si="6"/>
        <v>-</v>
      </c>
    </row>
    <row r="32" spans="1:17" ht="13.5" thickBot="1">
      <c r="A32" s="475" t="s">
        <v>847</v>
      </c>
      <c r="B32" s="475"/>
      <c r="C32" s="475">
        <f>SUM(C22:C31)</f>
        <v>4</v>
      </c>
      <c r="D32" s="476">
        <f>E32</f>
        <v>27</v>
      </c>
      <c r="E32" s="475">
        <f>SUM($E22:$E31)/$C$32</f>
        <v>27</v>
      </c>
      <c r="F32" s="476">
        <f>G32</f>
        <v>21</v>
      </c>
      <c r="G32" s="475">
        <f>SUM($G22:$G31)/$C$32</f>
        <v>21</v>
      </c>
      <c r="H32" s="477">
        <f>I32</f>
        <v>1.6</v>
      </c>
      <c r="I32" s="475">
        <f>SUM($I22:$I31)/$C$32</f>
        <v>1.6</v>
      </c>
      <c r="J32" s="477">
        <f>IF($G32&gt;0,($K32-1-$G32/100*$D$13/($G32/100))*$E32/100/$I32,($K32-1)*$E32/100/$I32)</f>
        <v>2.02436375</v>
      </c>
      <c r="K32" s="475">
        <f>$M32/$L32</f>
        <v>13.22652962962963</v>
      </c>
      <c r="L32" s="475">
        <f>SUM(L22:L31)</f>
        <v>3.6000000000000005</v>
      </c>
      <c r="M32" s="475">
        <f>SUM(M22:M31)</f>
        <v>47.615506666666676</v>
      </c>
      <c r="N32" s="475"/>
      <c r="O32" s="475">
        <f>SUM($O22:$O31)/$C$32</f>
        <v>0.2045029803428702</v>
      </c>
      <c r="P32" s="475"/>
      <c r="Q32" s="475">
        <f>SUM($Q22:$Q31)/$C$32</f>
        <v>0.11377038112710677</v>
      </c>
    </row>
    <row r="33" ht="13.5" thickBot="1"/>
    <row r="34" spans="1:4" ht="16.5" thickBot="1">
      <c r="A34" s="464" t="s">
        <v>875</v>
      </c>
      <c r="B34" s="465" t="s">
        <v>67</v>
      </c>
      <c r="C34" s="465" t="s">
        <v>1</v>
      </c>
      <c r="D34" s="465" t="s">
        <v>30</v>
      </c>
    </row>
    <row r="35" spans="1:20" ht="18.75" thickBot="1">
      <c r="A35" s="478" t="s">
        <v>6</v>
      </c>
      <c r="B35" s="479" t="s">
        <v>895</v>
      </c>
      <c r="C35" s="479" t="s">
        <v>97</v>
      </c>
      <c r="D35" s="480">
        <f>E32</f>
        <v>27</v>
      </c>
      <c r="H35" s="481" t="s">
        <v>1145</v>
      </c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37"/>
      <c r="T35" s="37"/>
    </row>
    <row r="36" spans="1:20" ht="18.75" thickBot="1">
      <c r="A36" s="484" t="s">
        <v>836</v>
      </c>
      <c r="B36" s="485" t="s">
        <v>894</v>
      </c>
      <c r="C36" s="485" t="s">
        <v>97</v>
      </c>
      <c r="D36" s="486">
        <f>G32</f>
        <v>21</v>
      </c>
      <c r="H36" s="481" t="s">
        <v>1112</v>
      </c>
      <c r="I36" s="481"/>
      <c r="J36" s="481"/>
      <c r="K36" s="482"/>
      <c r="L36" s="482"/>
      <c r="M36" s="482"/>
      <c r="N36" s="482"/>
      <c r="O36" s="482"/>
      <c r="P36" s="482"/>
      <c r="Q36" s="482"/>
      <c r="R36" s="482"/>
      <c r="S36" s="37"/>
      <c r="T36" s="37"/>
    </row>
    <row r="37" spans="1:18" ht="18.75" thickBot="1">
      <c r="A37" s="478" t="s">
        <v>842</v>
      </c>
      <c r="B37" s="487" t="s">
        <v>975</v>
      </c>
      <c r="C37" s="479" t="s">
        <v>976</v>
      </c>
      <c r="D37" s="480">
        <f>I32</f>
        <v>1.6</v>
      </c>
      <c r="H37" s="481" t="s">
        <v>1113</v>
      </c>
      <c r="I37" s="483"/>
      <c r="J37" s="483"/>
      <c r="K37" s="483"/>
      <c r="L37" s="483"/>
      <c r="M37" s="483"/>
      <c r="N37" s="483"/>
      <c r="O37" s="483"/>
      <c r="P37" s="483"/>
      <c r="Q37" s="483"/>
      <c r="R37" s="483"/>
    </row>
    <row r="38" spans="1:4" ht="18.75" thickBot="1">
      <c r="A38" s="478" t="s">
        <v>246</v>
      </c>
      <c r="B38" s="479" t="s">
        <v>893</v>
      </c>
      <c r="C38" s="479" t="s">
        <v>98</v>
      </c>
      <c r="D38" s="480">
        <f>J32</f>
        <v>2.02436375</v>
      </c>
    </row>
    <row r="39" spans="1:4" ht="12.75">
      <c r="A39" s="484" t="s">
        <v>25</v>
      </c>
      <c r="B39" s="485" t="s">
        <v>892</v>
      </c>
      <c r="C39" s="485" t="s">
        <v>570</v>
      </c>
      <c r="D39" s="486">
        <f>K32</f>
        <v>13.22652962962963</v>
      </c>
    </row>
    <row r="40" spans="1:4" ht="12.75">
      <c r="A40" s="484" t="s">
        <v>877</v>
      </c>
      <c r="B40" s="488" t="s">
        <v>977</v>
      </c>
      <c r="C40" s="485" t="s">
        <v>570</v>
      </c>
      <c r="D40" s="486">
        <f>O32</f>
        <v>0.2045029803428702</v>
      </c>
    </row>
    <row r="41" spans="1:4" ht="12.75">
      <c r="A41" s="484" t="s">
        <v>878</v>
      </c>
      <c r="B41" s="488" t="s">
        <v>978</v>
      </c>
      <c r="C41" s="485" t="s">
        <v>570</v>
      </c>
      <c r="D41" s="486">
        <f>Q32</f>
        <v>0.11377038112710677</v>
      </c>
    </row>
    <row r="42" spans="1:4" ht="12.75">
      <c r="A42" s="484" t="s">
        <v>876</v>
      </c>
      <c r="B42" s="318" t="s">
        <v>891</v>
      </c>
      <c r="C42" s="485" t="s">
        <v>882</v>
      </c>
      <c r="D42" s="486">
        <f>$D$12/1000/(D35/100)</f>
        <v>1.111111111111111</v>
      </c>
    </row>
    <row r="43" spans="1:4" ht="12.75">
      <c r="A43" s="484" t="s">
        <v>879</v>
      </c>
      <c r="B43" s="488" t="s">
        <v>979</v>
      </c>
      <c r="C43" s="485" t="s">
        <v>840</v>
      </c>
      <c r="D43" s="486">
        <f>$D$16*C32</f>
        <v>0.4</v>
      </c>
    </row>
    <row r="44" spans="1:4" ht="14.25">
      <c r="A44" s="484" t="s">
        <v>881</v>
      </c>
      <c r="B44" s="318" t="s">
        <v>885</v>
      </c>
      <c r="C44" s="485" t="s">
        <v>980</v>
      </c>
      <c r="D44" s="486">
        <f>D42*D43</f>
        <v>0.4444444444444444</v>
      </c>
    </row>
    <row r="45" spans="1:4" ht="14.25">
      <c r="A45" s="484" t="s">
        <v>883</v>
      </c>
      <c r="B45" s="318" t="s">
        <v>886</v>
      </c>
      <c r="C45" s="485" t="s">
        <v>980</v>
      </c>
      <c r="D45" s="486">
        <f>$D$14*D40</f>
        <v>0.005112574508571756</v>
      </c>
    </row>
    <row r="46" spans="1:4" ht="14.25">
      <c r="A46" s="484" t="s">
        <v>884</v>
      </c>
      <c r="B46" s="318" t="s">
        <v>887</v>
      </c>
      <c r="C46" s="485" t="s">
        <v>980</v>
      </c>
      <c r="D46" s="486">
        <f>$D$13/(D35/100)*$D$15*D36/100*D41</f>
        <v>5.065457289630186</v>
      </c>
    </row>
    <row r="47" spans="1:4" ht="15" thickBot="1">
      <c r="A47" s="484" t="s">
        <v>888</v>
      </c>
      <c r="B47" s="318" t="s">
        <v>890</v>
      </c>
      <c r="C47" s="485" t="s">
        <v>980</v>
      </c>
      <c r="D47" s="486">
        <f>D44+D45+D46</f>
        <v>5.515014308583202</v>
      </c>
    </row>
    <row r="48" spans="1:4" ht="18.75" thickBot="1">
      <c r="A48" s="478" t="s">
        <v>219</v>
      </c>
      <c r="B48" s="489" t="s">
        <v>889</v>
      </c>
      <c r="C48" s="479" t="s">
        <v>570</v>
      </c>
      <c r="D48" s="480">
        <f>(D47/D42)/C32</f>
        <v>1.2408782194312207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Q69"/>
  <sheetViews>
    <sheetView tabSelected="1" workbookViewId="0" topLeftCell="A1">
      <pane ySplit="9" topLeftCell="BM30" activePane="bottomLeft" state="frozen"/>
      <selection pane="topLeft" activeCell="A1" sqref="A1"/>
      <selection pane="bottomLeft" activeCell="L51" sqref="L51"/>
    </sheetView>
  </sheetViews>
  <sheetFormatPr defaultColWidth="11.421875" defaultRowHeight="12.75"/>
  <cols>
    <col min="1" max="1" width="29.140625" style="0" customWidth="1"/>
    <col min="2" max="2" width="11.28125" style="0" hidden="1" customWidth="1"/>
    <col min="3" max="3" width="12.57421875" style="184" hidden="1" customWidth="1"/>
    <col min="4" max="4" width="11.00390625" style="4" customWidth="1"/>
    <col min="5" max="5" width="9.8515625" style="7" customWidth="1"/>
    <col min="6" max="6" width="10.421875" style="4" customWidth="1"/>
    <col min="7" max="7" width="11.00390625" style="7" customWidth="1"/>
    <col min="8" max="8" width="11.421875" style="4" customWidth="1"/>
    <col min="9" max="9" width="10.140625" style="7" customWidth="1"/>
    <col min="10" max="10" width="10.140625" style="4" customWidth="1"/>
    <col min="11" max="11" width="9.28125" style="7" customWidth="1"/>
    <col min="12" max="12" width="10.140625" style="4" customWidth="1"/>
    <col min="13" max="13" width="9.7109375" style="7" customWidth="1"/>
    <col min="14" max="14" width="10.140625" style="4" customWidth="1"/>
    <col min="15" max="15" width="9.28125" style="7" customWidth="1"/>
    <col min="16" max="16" width="11.421875" style="4" customWidth="1"/>
    <col min="17" max="17" width="9.8515625" style="7" customWidth="1"/>
  </cols>
  <sheetData>
    <row r="1" ht="18">
      <c r="A1" s="2" t="s">
        <v>965</v>
      </c>
    </row>
    <row r="2" spans="5:12" ht="12.75">
      <c r="E2" s="41" t="s">
        <v>989</v>
      </c>
      <c r="F2" s="490"/>
      <c r="G2" s="491"/>
      <c r="H2" s="490"/>
      <c r="I2" s="491"/>
      <c r="J2" s="490"/>
      <c r="K2" s="491"/>
      <c r="L2" s="490"/>
    </row>
    <row r="3" ht="12.75">
      <c r="E3" s="533"/>
    </row>
    <row r="4" ht="12.75">
      <c r="E4" s="533"/>
    </row>
    <row r="5" ht="13.5" thickBot="1">
      <c r="E5" s="103" t="s">
        <v>1064</v>
      </c>
    </row>
    <row r="6" spans="1:17" ht="12.75">
      <c r="A6" s="209"/>
      <c r="B6" s="209"/>
      <c r="C6" s="228"/>
      <c r="D6" s="628" t="s">
        <v>932</v>
      </c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30"/>
    </row>
    <row r="7" spans="1:17" ht="12.75">
      <c r="A7" s="210" t="s">
        <v>931</v>
      </c>
      <c r="B7" s="210" t="s">
        <v>924</v>
      </c>
      <c r="C7" s="229" t="s">
        <v>940</v>
      </c>
      <c r="D7" s="631" t="s">
        <v>919</v>
      </c>
      <c r="E7" s="632"/>
      <c r="F7" s="631" t="s">
        <v>920</v>
      </c>
      <c r="G7" s="632"/>
      <c r="H7" s="631" t="s">
        <v>921</v>
      </c>
      <c r="I7" s="632"/>
      <c r="J7" s="631" t="s">
        <v>923</v>
      </c>
      <c r="K7" s="633"/>
      <c r="L7" s="631" t="s">
        <v>937</v>
      </c>
      <c r="M7" s="633"/>
      <c r="N7" s="631" t="s">
        <v>939</v>
      </c>
      <c r="O7" s="633"/>
      <c r="P7" s="631" t="s">
        <v>938</v>
      </c>
      <c r="Q7" s="633"/>
    </row>
    <row r="8" spans="1:17" ht="12.75">
      <c r="A8" s="210"/>
      <c r="B8" s="210"/>
      <c r="C8" s="229" t="s">
        <v>941</v>
      </c>
      <c r="D8" s="216" t="s">
        <v>933</v>
      </c>
      <c r="E8" s="220" t="s">
        <v>934</v>
      </c>
      <c r="F8" s="216" t="s">
        <v>933</v>
      </c>
      <c r="G8" s="220" t="s">
        <v>934</v>
      </c>
      <c r="H8" s="216" t="s">
        <v>933</v>
      </c>
      <c r="I8" s="220" t="s">
        <v>934</v>
      </c>
      <c r="J8" s="216" t="s">
        <v>933</v>
      </c>
      <c r="K8" s="220" t="s">
        <v>934</v>
      </c>
      <c r="L8" s="216" t="s">
        <v>933</v>
      </c>
      <c r="M8" s="220" t="s">
        <v>934</v>
      </c>
      <c r="N8" s="216" t="s">
        <v>933</v>
      </c>
      <c r="O8" s="220" t="s">
        <v>934</v>
      </c>
      <c r="P8" s="216" t="s">
        <v>933</v>
      </c>
      <c r="Q8" s="220" t="s">
        <v>934</v>
      </c>
    </row>
    <row r="9" spans="1:17" ht="13.5" thickBot="1">
      <c r="A9" s="208"/>
      <c r="B9" s="205" t="s">
        <v>519</v>
      </c>
      <c r="C9" s="230" t="s">
        <v>966</v>
      </c>
      <c r="D9" s="217" t="s">
        <v>967</v>
      </c>
      <c r="E9" s="221" t="s">
        <v>966</v>
      </c>
      <c r="F9" s="217" t="s">
        <v>967</v>
      </c>
      <c r="G9" s="221" t="s">
        <v>966</v>
      </c>
      <c r="H9" s="217" t="s">
        <v>967</v>
      </c>
      <c r="I9" s="221" t="s">
        <v>966</v>
      </c>
      <c r="J9" s="217" t="s">
        <v>967</v>
      </c>
      <c r="K9" s="221" t="s">
        <v>966</v>
      </c>
      <c r="L9" s="217" t="s">
        <v>967</v>
      </c>
      <c r="M9" s="221" t="s">
        <v>966</v>
      </c>
      <c r="N9" s="217" t="s">
        <v>967</v>
      </c>
      <c r="O9" s="221" t="s">
        <v>966</v>
      </c>
      <c r="P9" s="217" t="s">
        <v>967</v>
      </c>
      <c r="Q9" s="221" t="s">
        <v>966</v>
      </c>
    </row>
    <row r="10" spans="1:17" ht="12.75">
      <c r="A10" s="242" t="s">
        <v>339</v>
      </c>
      <c r="B10" s="239"/>
      <c r="C10" s="243"/>
      <c r="D10" s="244"/>
      <c r="E10" s="245"/>
      <c r="F10" s="246"/>
      <c r="G10" s="245"/>
      <c r="H10" s="246"/>
      <c r="I10" s="245"/>
      <c r="J10" s="246"/>
      <c r="K10" s="247"/>
      <c r="L10" s="246"/>
      <c r="M10" s="247"/>
      <c r="N10" s="248"/>
      <c r="O10" s="247"/>
      <c r="P10" s="246"/>
      <c r="Q10" s="247"/>
    </row>
    <row r="11" spans="1:17" ht="12.75">
      <c r="A11" s="252" t="s">
        <v>506</v>
      </c>
      <c r="B11" s="211">
        <v>58.14</v>
      </c>
      <c r="C11" s="534">
        <v>61.2</v>
      </c>
      <c r="D11" s="301">
        <v>3.09</v>
      </c>
      <c r="E11" s="250">
        <f aca="true" t="shared" si="0" ref="E11:E23">IF(ISNUMBER(D11),D11/100*D$67/$B11*$C11,"-")</f>
        <v>2.862315789473684</v>
      </c>
      <c r="F11" s="301">
        <v>3.3</v>
      </c>
      <c r="G11" s="255">
        <f aca="true" t="shared" si="1" ref="G11:G23">IF(ISNUMBER(F11),F11/100*F$67/$B11*$C11,"-")</f>
        <v>3.126315789473684</v>
      </c>
      <c r="H11" s="301">
        <v>3.2</v>
      </c>
      <c r="I11" s="255">
        <f aca="true" t="shared" si="2" ref="I11:I27">IF(ISNUMBER(H11),H11/100*H$67/$B11*$C11,"-")</f>
        <v>3.024842105263158</v>
      </c>
      <c r="J11" s="301"/>
      <c r="K11" s="255" t="str">
        <f aca="true" t="shared" si="3" ref="K11:K27">IF(ISNUMBER(J11),J11/100*J$67/$B11*$C11,"-")</f>
        <v>-</v>
      </c>
      <c r="L11" s="301"/>
      <c r="M11" s="255" t="str">
        <f aca="true" t="shared" si="4" ref="M11:M27">IF(ISNUMBER(L11),L11/100*L$67/$B11*$C11,"-")</f>
        <v>-</v>
      </c>
      <c r="N11" s="301"/>
      <c r="O11" s="255" t="str">
        <f aca="true" t="shared" si="5" ref="O11:O27">IF(ISNUMBER(N11),N11/100*N$67/$B11*$C11,"-")</f>
        <v>-</v>
      </c>
      <c r="P11" s="301"/>
      <c r="Q11" s="255" t="str">
        <f aca="true" t="shared" si="6" ref="Q11:Q27">IF(ISNUMBER(P11),P11/100*P$67/$B11*$C11,"-")</f>
        <v>-</v>
      </c>
    </row>
    <row r="12" spans="1:17" ht="12.75">
      <c r="A12" s="252" t="s">
        <v>505</v>
      </c>
      <c r="B12" s="211">
        <v>58.12</v>
      </c>
      <c r="C12" s="534">
        <v>48.8</v>
      </c>
      <c r="D12" s="301">
        <v>1.55</v>
      </c>
      <c r="E12" s="250">
        <f t="shared" si="0"/>
        <v>1.1452718513420508</v>
      </c>
      <c r="F12" s="301">
        <v>1.6</v>
      </c>
      <c r="G12" s="255">
        <f t="shared" si="1"/>
        <v>1.2090846524432208</v>
      </c>
      <c r="H12" s="301">
        <v>1.6</v>
      </c>
      <c r="I12" s="255">
        <f t="shared" si="2"/>
        <v>1.2063977976600138</v>
      </c>
      <c r="J12" s="301"/>
      <c r="K12" s="255" t="str">
        <f t="shared" si="3"/>
        <v>-</v>
      </c>
      <c r="L12" s="301"/>
      <c r="M12" s="255" t="str">
        <f t="shared" si="4"/>
        <v>-</v>
      </c>
      <c r="N12" s="301"/>
      <c r="O12" s="255" t="str">
        <f t="shared" si="5"/>
        <v>-</v>
      </c>
      <c r="P12" s="301"/>
      <c r="Q12" s="255" t="str">
        <f t="shared" si="6"/>
        <v>-</v>
      </c>
    </row>
    <row r="13" spans="1:17" ht="12.75">
      <c r="A13" s="252" t="s">
        <v>346</v>
      </c>
      <c r="B13" s="211">
        <v>72.15</v>
      </c>
      <c r="C13" s="534">
        <v>38</v>
      </c>
      <c r="D13" s="301">
        <v>4.82</v>
      </c>
      <c r="E13" s="250">
        <f t="shared" si="0"/>
        <v>2.233968121968122</v>
      </c>
      <c r="F13" s="301">
        <v>3.85</v>
      </c>
      <c r="G13" s="255">
        <f t="shared" si="1"/>
        <v>1.8249480249480248</v>
      </c>
      <c r="H13" s="301">
        <v>3.02</v>
      </c>
      <c r="I13" s="255">
        <f t="shared" si="2"/>
        <v>1.428336521136521</v>
      </c>
      <c r="J13" s="301"/>
      <c r="K13" s="255" t="str">
        <f t="shared" si="3"/>
        <v>-</v>
      </c>
      <c r="L13" s="301"/>
      <c r="M13" s="255" t="str">
        <f t="shared" si="4"/>
        <v>-</v>
      </c>
      <c r="N13" s="301"/>
      <c r="O13" s="255" t="str">
        <f t="shared" si="5"/>
        <v>-</v>
      </c>
      <c r="P13" s="301"/>
      <c r="Q13" s="255" t="str">
        <f t="shared" si="6"/>
        <v>-</v>
      </c>
    </row>
    <row r="14" spans="1:17" ht="12.75">
      <c r="A14" s="252" t="s">
        <v>342</v>
      </c>
      <c r="B14" s="211">
        <v>72.25</v>
      </c>
      <c r="C14" s="534">
        <v>48</v>
      </c>
      <c r="D14" s="301">
        <v>10.5</v>
      </c>
      <c r="E14" s="250">
        <f t="shared" si="0"/>
        <v>6.138685121107266</v>
      </c>
      <c r="F14" s="301">
        <v>11</v>
      </c>
      <c r="G14" s="255">
        <f t="shared" si="1"/>
        <v>6.577162629757787</v>
      </c>
      <c r="H14" s="301">
        <v>11.3</v>
      </c>
      <c r="I14" s="255">
        <f t="shared" si="2"/>
        <v>6.74152525951557</v>
      </c>
      <c r="J14" s="301"/>
      <c r="K14" s="255" t="str">
        <f t="shared" si="3"/>
        <v>-</v>
      </c>
      <c r="L14" s="301"/>
      <c r="M14" s="255" t="str">
        <f t="shared" si="4"/>
        <v>-</v>
      </c>
      <c r="N14" s="301"/>
      <c r="O14" s="255" t="str">
        <f t="shared" si="5"/>
        <v>-</v>
      </c>
      <c r="P14" s="301"/>
      <c r="Q14" s="255" t="str">
        <f t="shared" si="6"/>
        <v>-</v>
      </c>
    </row>
    <row r="15" spans="1:17" ht="12.75">
      <c r="A15" s="252" t="s">
        <v>350</v>
      </c>
      <c r="B15" s="211">
        <v>86.17</v>
      </c>
      <c r="C15" s="534">
        <v>9.5</v>
      </c>
      <c r="D15" s="301">
        <v>2.82</v>
      </c>
      <c r="E15" s="250">
        <f t="shared" si="0"/>
        <v>0.2735894162701636</v>
      </c>
      <c r="F15" s="301">
        <v>1.82</v>
      </c>
      <c r="G15" s="255">
        <f t="shared" si="1"/>
        <v>0.18058489033306258</v>
      </c>
      <c r="H15" s="301">
        <v>1.1</v>
      </c>
      <c r="I15" s="255">
        <f t="shared" si="2"/>
        <v>0.10890217012881515</v>
      </c>
      <c r="J15" s="301"/>
      <c r="K15" s="255" t="str">
        <f t="shared" si="3"/>
        <v>-</v>
      </c>
      <c r="L15" s="301"/>
      <c r="M15" s="255" t="str">
        <f t="shared" si="4"/>
        <v>-</v>
      </c>
      <c r="N15" s="301"/>
      <c r="O15" s="255" t="str">
        <f t="shared" si="5"/>
        <v>-</v>
      </c>
      <c r="P15" s="301"/>
      <c r="Q15" s="255" t="str">
        <f t="shared" si="6"/>
        <v>-</v>
      </c>
    </row>
    <row r="16" spans="1:17" ht="12.75">
      <c r="A16" s="252" t="s">
        <v>507</v>
      </c>
      <c r="B16" s="211">
        <v>86.17</v>
      </c>
      <c r="C16" s="534">
        <v>14</v>
      </c>
      <c r="D16" s="301">
        <v>13.3</v>
      </c>
      <c r="E16" s="250">
        <f t="shared" si="0"/>
        <v>1.9015434606011372</v>
      </c>
      <c r="F16" s="301">
        <v>9.9</v>
      </c>
      <c r="G16" s="255">
        <f t="shared" si="1"/>
        <v>1.4476035743298132</v>
      </c>
      <c r="H16" s="301">
        <v>7.82</v>
      </c>
      <c r="I16" s="255">
        <f t="shared" si="2"/>
        <v>1.1409195775792038</v>
      </c>
      <c r="J16" s="301"/>
      <c r="K16" s="255" t="str">
        <f t="shared" si="3"/>
        <v>-</v>
      </c>
      <c r="L16" s="301"/>
      <c r="M16" s="255" t="str">
        <f t="shared" si="4"/>
        <v>-</v>
      </c>
      <c r="N16" s="301"/>
      <c r="O16" s="255" t="str">
        <f t="shared" si="5"/>
        <v>-</v>
      </c>
      <c r="P16" s="301"/>
      <c r="Q16" s="255" t="str">
        <f t="shared" si="6"/>
        <v>-</v>
      </c>
    </row>
    <row r="17" spans="1:17" ht="12.75">
      <c r="A17" s="252" t="s">
        <v>370</v>
      </c>
      <c r="B17" s="211">
        <v>100.21</v>
      </c>
      <c r="C17" s="534">
        <v>3.4</v>
      </c>
      <c r="D17" s="301">
        <v>3.4</v>
      </c>
      <c r="E17" s="250">
        <f t="shared" si="0"/>
        <v>0.10151481888035127</v>
      </c>
      <c r="F17" s="301">
        <v>2.3</v>
      </c>
      <c r="G17" s="255">
        <f t="shared" si="1"/>
        <v>0.0702325117253767</v>
      </c>
      <c r="H17" s="301">
        <v>3.3</v>
      </c>
      <c r="I17" s="255">
        <f t="shared" si="2"/>
        <v>0.1005444566410538</v>
      </c>
      <c r="J17" s="301"/>
      <c r="K17" s="255" t="str">
        <f t="shared" si="3"/>
        <v>-</v>
      </c>
      <c r="L17" s="301"/>
      <c r="M17" s="255" t="str">
        <f t="shared" si="4"/>
        <v>-</v>
      </c>
      <c r="N17" s="301"/>
      <c r="O17" s="255" t="str">
        <f t="shared" si="5"/>
        <v>-</v>
      </c>
      <c r="P17" s="301"/>
      <c r="Q17" s="255" t="str">
        <f t="shared" si="6"/>
        <v>-</v>
      </c>
    </row>
    <row r="18" spans="1:17" ht="12.75">
      <c r="A18" s="252" t="s">
        <v>369</v>
      </c>
      <c r="B18" s="211">
        <v>100.21</v>
      </c>
      <c r="C18" s="534">
        <v>2.54</v>
      </c>
      <c r="D18" s="301">
        <v>3.4</v>
      </c>
      <c r="E18" s="250">
        <f t="shared" si="0"/>
        <v>0.07583754116355654</v>
      </c>
      <c r="F18" s="301">
        <v>2.2</v>
      </c>
      <c r="G18" s="255">
        <f t="shared" si="1"/>
        <v>0.05018660812294183</v>
      </c>
      <c r="H18" s="301">
        <v>3.3</v>
      </c>
      <c r="I18" s="255">
        <f t="shared" si="2"/>
        <v>0.0751126234906696</v>
      </c>
      <c r="J18" s="301"/>
      <c r="K18" s="255" t="str">
        <f t="shared" si="3"/>
        <v>-</v>
      </c>
      <c r="L18" s="301"/>
      <c r="M18" s="255" t="str">
        <f t="shared" si="4"/>
        <v>-</v>
      </c>
      <c r="N18" s="301"/>
      <c r="O18" s="255" t="str">
        <f t="shared" si="5"/>
        <v>-</v>
      </c>
      <c r="P18" s="301"/>
      <c r="Q18" s="255" t="str">
        <f t="shared" si="6"/>
        <v>-</v>
      </c>
    </row>
    <row r="19" spans="1:17" ht="12.75">
      <c r="A19" s="252" t="s">
        <v>508</v>
      </c>
      <c r="B19" s="211">
        <v>114.23</v>
      </c>
      <c r="C19" s="534">
        <v>0.66</v>
      </c>
      <c r="D19" s="301">
        <v>4</v>
      </c>
      <c r="E19" s="250">
        <f t="shared" si="0"/>
        <v>0.02033791473343255</v>
      </c>
      <c r="F19" s="301">
        <v>4</v>
      </c>
      <c r="G19" s="255">
        <f t="shared" si="1"/>
        <v>0.02080014006828329</v>
      </c>
      <c r="H19" s="301">
        <v>8.3</v>
      </c>
      <c r="I19" s="255">
        <f t="shared" si="2"/>
        <v>0.043064378884706295</v>
      </c>
      <c r="J19" s="301"/>
      <c r="K19" s="255" t="str">
        <f t="shared" si="3"/>
        <v>-</v>
      </c>
      <c r="L19" s="301"/>
      <c r="M19" s="255" t="str">
        <f t="shared" si="4"/>
        <v>-</v>
      </c>
      <c r="N19" s="301"/>
      <c r="O19" s="255" t="str">
        <f t="shared" si="5"/>
        <v>-</v>
      </c>
      <c r="P19" s="301"/>
      <c r="Q19" s="255" t="str">
        <f t="shared" si="6"/>
        <v>-</v>
      </c>
    </row>
    <row r="20" spans="1:17" ht="12.75">
      <c r="A20" s="252" t="s">
        <v>509</v>
      </c>
      <c r="B20" s="211">
        <v>114.23</v>
      </c>
      <c r="C20" s="534">
        <v>2.44</v>
      </c>
      <c r="D20" s="301">
        <v>3.9</v>
      </c>
      <c r="E20" s="250">
        <f t="shared" si="0"/>
        <v>0.07330893810732732</v>
      </c>
      <c r="F20" s="301">
        <v>4</v>
      </c>
      <c r="G20" s="255">
        <f t="shared" si="1"/>
        <v>0.07689748752516852</v>
      </c>
      <c r="H20" s="301">
        <v>8.3</v>
      </c>
      <c r="I20" s="255">
        <f t="shared" si="2"/>
        <v>0.15920770375558083</v>
      </c>
      <c r="J20" s="301">
        <v>7</v>
      </c>
      <c r="K20" s="255">
        <f t="shared" si="3"/>
        <v>0.26914120633808986</v>
      </c>
      <c r="L20" s="301"/>
      <c r="M20" s="255" t="str">
        <f t="shared" si="4"/>
        <v>-</v>
      </c>
      <c r="N20" s="301"/>
      <c r="O20" s="255" t="str">
        <f t="shared" si="5"/>
        <v>-</v>
      </c>
      <c r="P20" s="301"/>
      <c r="Q20" s="255" t="str">
        <f t="shared" si="6"/>
        <v>-</v>
      </c>
    </row>
    <row r="21" spans="1:17" ht="12.75">
      <c r="A21" s="252" t="s">
        <v>510</v>
      </c>
      <c r="B21" s="211">
        <v>128.26</v>
      </c>
      <c r="C21" s="534">
        <v>0.122</v>
      </c>
      <c r="D21" s="301">
        <v>1.3</v>
      </c>
      <c r="E21" s="250">
        <f t="shared" si="0"/>
        <v>0.0010881646655231563</v>
      </c>
      <c r="F21" s="301">
        <v>1.3</v>
      </c>
      <c r="G21" s="255">
        <f t="shared" si="1"/>
        <v>0.0011128956806486824</v>
      </c>
      <c r="H21" s="301">
        <v>0.8</v>
      </c>
      <c r="I21" s="255">
        <f t="shared" si="2"/>
        <v>0.0006833369717760798</v>
      </c>
      <c r="J21" s="301">
        <v>2</v>
      </c>
      <c r="K21" s="255">
        <f t="shared" si="3"/>
        <v>0.003424294401995946</v>
      </c>
      <c r="L21" s="301"/>
      <c r="M21" s="255" t="str">
        <f t="shared" si="4"/>
        <v>-</v>
      </c>
      <c r="N21" s="301"/>
      <c r="O21" s="255" t="str">
        <f t="shared" si="5"/>
        <v>-</v>
      </c>
      <c r="P21" s="301"/>
      <c r="Q21" s="255" t="str">
        <f t="shared" si="6"/>
        <v>-</v>
      </c>
    </row>
    <row r="22" spans="1:17" ht="12.75">
      <c r="A22" s="252" t="s">
        <v>351</v>
      </c>
      <c r="B22" s="211">
        <v>142.29</v>
      </c>
      <c r="C22" s="534">
        <v>0.052</v>
      </c>
      <c r="D22" s="301">
        <v>1.1</v>
      </c>
      <c r="E22" s="250">
        <f t="shared" si="0"/>
        <v>0.00035375641295944907</v>
      </c>
      <c r="F22" s="301">
        <v>1.1</v>
      </c>
      <c r="G22" s="255">
        <f t="shared" si="1"/>
        <v>0.0003617963314358002</v>
      </c>
      <c r="H22" s="301">
        <v>1.1</v>
      </c>
      <c r="I22" s="255">
        <f t="shared" si="2"/>
        <v>0.00036099233958816507</v>
      </c>
      <c r="J22" s="301">
        <v>7</v>
      </c>
      <c r="K22" s="255">
        <f t="shared" si="3"/>
        <v>0.004604680581910184</v>
      </c>
      <c r="L22" s="301"/>
      <c r="M22" s="255" t="str">
        <f t="shared" si="4"/>
        <v>-</v>
      </c>
      <c r="N22" s="301"/>
      <c r="O22" s="255" t="str">
        <f t="shared" si="5"/>
        <v>-</v>
      </c>
      <c r="P22" s="301"/>
      <c r="Q22" s="255" t="str">
        <f t="shared" si="6"/>
        <v>-</v>
      </c>
    </row>
    <row r="23" spans="1:17" ht="12.75">
      <c r="A23" s="252" t="s">
        <v>512</v>
      </c>
      <c r="B23" s="211">
        <v>170.34</v>
      </c>
      <c r="C23" s="534">
        <v>0.0037</v>
      </c>
      <c r="D23" s="301"/>
      <c r="E23" s="250" t="str">
        <f t="shared" si="0"/>
        <v>-</v>
      </c>
      <c r="F23" s="301"/>
      <c r="G23" s="255" t="str">
        <f t="shared" si="1"/>
        <v>-</v>
      </c>
      <c r="H23" s="301"/>
      <c r="I23" s="255" t="str">
        <f t="shared" si="2"/>
        <v>-</v>
      </c>
      <c r="J23" s="301">
        <v>8</v>
      </c>
      <c r="K23" s="255">
        <f t="shared" si="3"/>
        <v>0.0003127861923212399</v>
      </c>
      <c r="L23" s="301"/>
      <c r="M23" s="255" t="str">
        <f t="shared" si="4"/>
        <v>-</v>
      </c>
      <c r="N23" s="301"/>
      <c r="O23" s="255" t="str">
        <f t="shared" si="5"/>
        <v>-</v>
      </c>
      <c r="P23" s="301"/>
      <c r="Q23" s="255" t="str">
        <f t="shared" si="6"/>
        <v>-</v>
      </c>
    </row>
    <row r="24" spans="1:17" ht="12.75">
      <c r="A24" s="252" t="s">
        <v>511</v>
      </c>
      <c r="B24" s="211">
        <v>198.4</v>
      </c>
      <c r="C24" s="534">
        <v>0.0022</v>
      </c>
      <c r="D24" s="301"/>
      <c r="E24" s="250" t="str">
        <f aca="true" t="shared" si="7" ref="E24:G27">IF(ISNUMBER(D24),D24/100*D$67/$B24*$C24,"-")</f>
        <v>-</v>
      </c>
      <c r="F24" s="301"/>
      <c r="G24" s="255" t="str">
        <f t="shared" si="7"/>
        <v>-</v>
      </c>
      <c r="H24" s="301"/>
      <c r="I24" s="255" t="str">
        <f t="shared" si="2"/>
        <v>-</v>
      </c>
      <c r="J24" s="301">
        <v>8</v>
      </c>
      <c r="K24" s="255">
        <f t="shared" si="3"/>
        <v>0.00015967741935483872</v>
      </c>
      <c r="L24" s="301"/>
      <c r="M24" s="255" t="str">
        <f t="shared" si="4"/>
        <v>-</v>
      </c>
      <c r="N24" s="301"/>
      <c r="O24" s="255" t="str">
        <f t="shared" si="5"/>
        <v>-</v>
      </c>
      <c r="P24" s="301"/>
      <c r="Q24" s="255" t="str">
        <f t="shared" si="6"/>
        <v>-</v>
      </c>
    </row>
    <row r="25" spans="1:17" ht="12.75">
      <c r="A25" s="252" t="s">
        <v>515</v>
      </c>
      <c r="B25" s="211">
        <v>226.45</v>
      </c>
      <c r="C25" s="534">
        <v>0.0009</v>
      </c>
      <c r="D25" s="301"/>
      <c r="E25" s="250" t="str">
        <f t="shared" si="7"/>
        <v>-</v>
      </c>
      <c r="F25" s="301"/>
      <c r="G25" s="255" t="str">
        <f t="shared" si="7"/>
        <v>-</v>
      </c>
      <c r="H25" s="301"/>
      <c r="I25" s="255" t="str">
        <f t="shared" si="2"/>
        <v>-</v>
      </c>
      <c r="J25" s="301">
        <v>7</v>
      </c>
      <c r="K25" s="255">
        <f t="shared" si="3"/>
        <v>5.0077279752704795E-05</v>
      </c>
      <c r="L25" s="301"/>
      <c r="M25" s="255" t="str">
        <f t="shared" si="4"/>
        <v>-</v>
      </c>
      <c r="N25" s="301"/>
      <c r="O25" s="255" t="str">
        <f t="shared" si="5"/>
        <v>-</v>
      </c>
      <c r="P25" s="301"/>
      <c r="Q25" s="255" t="str">
        <f t="shared" si="6"/>
        <v>-</v>
      </c>
    </row>
    <row r="26" spans="1:17" ht="12.75">
      <c r="A26" s="252" t="s">
        <v>513</v>
      </c>
      <c r="B26" s="211">
        <v>254.5</v>
      </c>
      <c r="C26" s="534">
        <v>9.358E-05</v>
      </c>
      <c r="D26" s="301"/>
      <c r="E26" s="250" t="str">
        <f t="shared" si="7"/>
        <v>-</v>
      </c>
      <c r="F26" s="301"/>
      <c r="G26" s="255" t="str">
        <f t="shared" si="7"/>
        <v>-</v>
      </c>
      <c r="H26" s="301"/>
      <c r="I26" s="255" t="str">
        <f t="shared" si="2"/>
        <v>-</v>
      </c>
      <c r="J26" s="301">
        <v>7</v>
      </c>
      <c r="K26" s="255">
        <f t="shared" si="3"/>
        <v>4.633037328094303E-06</v>
      </c>
      <c r="L26" s="301"/>
      <c r="M26" s="255" t="str">
        <f t="shared" si="4"/>
        <v>-</v>
      </c>
      <c r="N26" s="301"/>
      <c r="O26" s="255" t="str">
        <f t="shared" si="5"/>
        <v>-</v>
      </c>
      <c r="P26" s="301"/>
      <c r="Q26" s="255" t="str">
        <f t="shared" si="6"/>
        <v>-</v>
      </c>
    </row>
    <row r="27" spans="1:17" ht="12.75">
      <c r="A27" s="253" t="s">
        <v>514</v>
      </c>
      <c r="B27" s="219">
        <v>282.56</v>
      </c>
      <c r="C27" s="535">
        <v>9.4E-06</v>
      </c>
      <c r="D27" s="302"/>
      <c r="E27" s="251" t="str">
        <f t="shared" si="7"/>
        <v>-</v>
      </c>
      <c r="F27" s="302"/>
      <c r="G27" s="256" t="str">
        <f t="shared" si="7"/>
        <v>-</v>
      </c>
      <c r="H27" s="302"/>
      <c r="I27" s="256" t="str">
        <f t="shared" si="2"/>
        <v>-</v>
      </c>
      <c r="J27" s="302">
        <v>4</v>
      </c>
      <c r="K27" s="256">
        <f t="shared" si="3"/>
        <v>2.39524348810872E-07</v>
      </c>
      <c r="L27" s="302"/>
      <c r="M27" s="256" t="str">
        <f t="shared" si="4"/>
        <v>-</v>
      </c>
      <c r="N27" s="302"/>
      <c r="O27" s="256" t="str">
        <f t="shared" si="5"/>
        <v>-</v>
      </c>
      <c r="P27" s="302"/>
      <c r="Q27" s="256" t="str">
        <f t="shared" si="6"/>
        <v>-</v>
      </c>
    </row>
    <row r="28" spans="1:17" ht="13.5" thickBot="1">
      <c r="A28" s="254" t="s">
        <v>925</v>
      </c>
      <c r="B28" s="206"/>
      <c r="C28" s="257"/>
      <c r="D28" s="258">
        <f aca="true" t="shared" si="8" ref="D28:J28">SUM(D11:D27)</f>
        <v>53.17999999999999</v>
      </c>
      <c r="E28" s="259">
        <f t="shared" si="8"/>
        <v>14.827814894725575</v>
      </c>
      <c r="F28" s="258">
        <f t="shared" si="8"/>
        <v>46.37</v>
      </c>
      <c r="G28" s="260">
        <f t="shared" si="8"/>
        <v>14.58529100073945</v>
      </c>
      <c r="H28" s="258">
        <f t="shared" si="8"/>
        <v>53.13999999999999</v>
      </c>
      <c r="I28" s="260">
        <f t="shared" si="8"/>
        <v>14.029896923366655</v>
      </c>
      <c r="J28" s="258">
        <f t="shared" si="8"/>
        <v>50</v>
      </c>
      <c r="K28" s="260">
        <f aca="true" t="shared" si="9" ref="K28:Q28">SUM(K11:K27)</f>
        <v>0.27769759477510164</v>
      </c>
      <c r="L28" s="258">
        <f t="shared" si="9"/>
        <v>0</v>
      </c>
      <c r="M28" s="260">
        <f t="shared" si="9"/>
        <v>0</v>
      </c>
      <c r="N28" s="258">
        <f t="shared" si="9"/>
        <v>0</v>
      </c>
      <c r="O28" s="260">
        <f t="shared" si="9"/>
        <v>0</v>
      </c>
      <c r="P28" s="258">
        <f t="shared" si="9"/>
        <v>0</v>
      </c>
      <c r="Q28" s="260">
        <f t="shared" si="9"/>
        <v>0</v>
      </c>
    </row>
    <row r="29" spans="1:17" ht="12.75">
      <c r="A29" s="242" t="s">
        <v>922</v>
      </c>
      <c r="B29" s="242"/>
      <c r="C29" s="261"/>
      <c r="D29" s="262"/>
      <c r="E29" s="263"/>
      <c r="F29" s="262"/>
      <c r="G29" s="263"/>
      <c r="H29" s="262"/>
      <c r="I29" s="263"/>
      <c r="J29" s="262"/>
      <c r="K29" s="264"/>
      <c r="L29" s="262"/>
      <c r="M29" s="264"/>
      <c r="N29" s="265"/>
      <c r="O29" s="264"/>
      <c r="P29" s="262"/>
      <c r="Q29" s="264"/>
    </row>
    <row r="30" spans="1:17" ht="12.75">
      <c r="A30" s="252" t="s">
        <v>347</v>
      </c>
      <c r="B30" s="211">
        <v>70.14</v>
      </c>
      <c r="C30" s="534">
        <v>156</v>
      </c>
      <c r="D30" s="300">
        <v>0.95</v>
      </c>
      <c r="E30" s="255">
        <f aca="true" t="shared" si="10" ref="E30:G33">IF(ISNUMBER(D30),D30/100*D$67/$B30*$C30,"-")</f>
        <v>1.859366980325064</v>
      </c>
      <c r="F30" s="300">
        <v>0.82</v>
      </c>
      <c r="G30" s="255">
        <f t="shared" si="10"/>
        <v>1.6414029084687765</v>
      </c>
      <c r="H30" s="300">
        <v>0.64</v>
      </c>
      <c r="I30" s="255">
        <f>IF(ISNUMBER(H30),H30/100*H$67/$B30*$C30,"-")</f>
        <v>1.2782480752780154</v>
      </c>
      <c r="J30" s="300">
        <v>3</v>
      </c>
      <c r="K30" s="255">
        <f aca="true" t="shared" si="11" ref="K30:M33">IF(ISNUMBER(J30),J30/100*J$67/$B30*$C30,"-")</f>
        <v>12.010265183917877</v>
      </c>
      <c r="L30" s="301"/>
      <c r="M30" s="255" t="str">
        <f t="shared" si="11"/>
        <v>-</v>
      </c>
      <c r="N30" s="301"/>
      <c r="O30" s="255" t="str">
        <f>IF(ISNUMBER(N30),N30/100*N$67/$B30*$C30,"-")</f>
        <v>-</v>
      </c>
      <c r="P30" s="301"/>
      <c r="Q30" s="255" t="str">
        <f>IF(ISNUMBER(P30),P30/100*P$67/$B30*$C30,"-")</f>
        <v>-</v>
      </c>
    </row>
    <row r="31" spans="1:17" ht="12.75">
      <c r="A31" s="252" t="s">
        <v>348</v>
      </c>
      <c r="B31" s="211">
        <v>84.16</v>
      </c>
      <c r="C31" s="534">
        <v>55</v>
      </c>
      <c r="D31" s="300">
        <v>1.46</v>
      </c>
      <c r="E31" s="255">
        <f t="shared" si="10"/>
        <v>0.839638783269962</v>
      </c>
      <c r="F31" s="300">
        <v>0.71</v>
      </c>
      <c r="G31" s="255">
        <f t="shared" si="10"/>
        <v>0.41759743346007605</v>
      </c>
      <c r="H31" s="300">
        <v>0.41</v>
      </c>
      <c r="I31" s="255">
        <f>IF(ISNUMBER(H31),H31/100*H$67/$B31*$C31,"-")</f>
        <v>0.24061192965779468</v>
      </c>
      <c r="J31" s="300">
        <v>4</v>
      </c>
      <c r="K31" s="255">
        <f t="shared" si="11"/>
        <v>4.7053231939163505</v>
      </c>
      <c r="L31" s="301"/>
      <c r="M31" s="255" t="str">
        <f t="shared" si="11"/>
        <v>-</v>
      </c>
      <c r="N31" s="301"/>
      <c r="O31" s="255" t="str">
        <f>IF(ISNUMBER(N31),N31/100*N$67/$B31*$C31,"-")</f>
        <v>-</v>
      </c>
      <c r="P31" s="301"/>
      <c r="Q31" s="255" t="str">
        <f>IF(ISNUMBER(P31),P31/100*P$67/$B31*$C31,"-")</f>
        <v>-</v>
      </c>
    </row>
    <row r="32" spans="1:17" ht="12.75">
      <c r="A32" s="252" t="s">
        <v>349</v>
      </c>
      <c r="B32" s="211">
        <v>98.19</v>
      </c>
      <c r="C32" s="534">
        <v>30</v>
      </c>
      <c r="D32" s="301"/>
      <c r="E32" s="255" t="str">
        <f t="shared" si="10"/>
        <v>-</v>
      </c>
      <c r="F32" s="301"/>
      <c r="G32" s="255" t="str">
        <f t="shared" si="10"/>
        <v>-</v>
      </c>
      <c r="H32" s="301"/>
      <c r="I32" s="255" t="str">
        <f>IF(ISNUMBER(H32),H32/100*H$67/$B32*$C32,"-")</f>
        <v>-</v>
      </c>
      <c r="J32" s="300">
        <v>3</v>
      </c>
      <c r="K32" s="255">
        <f t="shared" si="11"/>
        <v>1.6498625114573786</v>
      </c>
      <c r="L32" s="301"/>
      <c r="M32" s="255" t="str">
        <f t="shared" si="11"/>
        <v>-</v>
      </c>
      <c r="N32" s="301"/>
      <c r="O32" s="255" t="str">
        <f>IF(ISNUMBER(N32),N32/100*N$67/$B32*$C32,"-")</f>
        <v>-</v>
      </c>
      <c r="P32" s="301"/>
      <c r="Q32" s="255" t="str">
        <f>IF(ISNUMBER(P32),P32/100*P$67/$B32*$C32,"-")</f>
        <v>-</v>
      </c>
    </row>
    <row r="33" spans="1:17" ht="12.75">
      <c r="A33" s="253" t="s">
        <v>504</v>
      </c>
      <c r="B33" s="219">
        <v>112.22</v>
      </c>
      <c r="C33" s="535">
        <v>7.9</v>
      </c>
      <c r="D33" s="302"/>
      <c r="E33" s="256" t="str">
        <f t="shared" si="10"/>
        <v>-</v>
      </c>
      <c r="F33" s="302"/>
      <c r="G33" s="256" t="str">
        <f t="shared" si="10"/>
        <v>-</v>
      </c>
      <c r="H33" s="302"/>
      <c r="I33" s="256" t="str">
        <f>IF(ISNUMBER(H33),H33/100*H$67/$B33*$C33,"-")</f>
        <v>-</v>
      </c>
      <c r="J33" s="536">
        <v>3</v>
      </c>
      <c r="K33" s="256">
        <f t="shared" si="11"/>
        <v>0.3801461415077526</v>
      </c>
      <c r="L33" s="302"/>
      <c r="M33" s="256" t="str">
        <f t="shared" si="11"/>
        <v>-</v>
      </c>
      <c r="N33" s="302"/>
      <c r="O33" s="256" t="str">
        <f>IF(ISNUMBER(N33),N33/100*N$67/$B33*$C33,"-")</f>
        <v>-</v>
      </c>
      <c r="P33" s="302"/>
      <c r="Q33" s="256" t="str">
        <f>IF(ISNUMBER(P33),P33/100*P$67/$B33*$C33,"-")</f>
        <v>-</v>
      </c>
    </row>
    <row r="34" spans="1:17" ht="13.5" thickBot="1">
      <c r="A34" s="254" t="s">
        <v>930</v>
      </c>
      <c r="B34" s="254"/>
      <c r="C34" s="257"/>
      <c r="D34" s="258">
        <f aca="true" t="shared" si="12" ref="D34:J34">SUM(D30:D33)</f>
        <v>2.41</v>
      </c>
      <c r="E34" s="266">
        <f t="shared" si="12"/>
        <v>2.699005763595026</v>
      </c>
      <c r="F34" s="258">
        <f t="shared" si="12"/>
        <v>1.5299999999999998</v>
      </c>
      <c r="G34" s="266">
        <f t="shared" si="12"/>
        <v>2.0590003419288525</v>
      </c>
      <c r="H34" s="258">
        <f t="shared" si="12"/>
        <v>1.05</v>
      </c>
      <c r="I34" s="266">
        <f t="shared" si="12"/>
        <v>1.51886000493581</v>
      </c>
      <c r="J34" s="258">
        <f t="shared" si="12"/>
        <v>13</v>
      </c>
      <c r="K34" s="266">
        <f aca="true" t="shared" si="13" ref="K34:Q34">SUM(K30:K33)</f>
        <v>18.745597030799356</v>
      </c>
      <c r="L34" s="258">
        <f t="shared" si="13"/>
        <v>0</v>
      </c>
      <c r="M34" s="266">
        <f t="shared" si="13"/>
        <v>0</v>
      </c>
      <c r="N34" s="258">
        <f t="shared" si="13"/>
        <v>0</v>
      </c>
      <c r="O34" s="266">
        <f t="shared" si="13"/>
        <v>0</v>
      </c>
      <c r="P34" s="258">
        <f t="shared" si="13"/>
        <v>0</v>
      </c>
      <c r="Q34" s="226">
        <f t="shared" si="13"/>
        <v>0</v>
      </c>
    </row>
    <row r="35" spans="1:17" s="204" customFormat="1" ht="12.75">
      <c r="A35" s="242" t="s">
        <v>343</v>
      </c>
      <c r="B35" s="242"/>
      <c r="C35" s="261"/>
      <c r="D35" s="262"/>
      <c r="E35" s="263"/>
      <c r="F35" s="262"/>
      <c r="G35" s="263"/>
      <c r="H35" s="262"/>
      <c r="I35" s="263"/>
      <c r="J35" s="262"/>
      <c r="K35" s="264"/>
      <c r="L35" s="262"/>
      <c r="M35" s="264"/>
      <c r="N35" s="265"/>
      <c r="O35" s="264"/>
      <c r="P35" s="262"/>
      <c r="Q35" s="264"/>
    </row>
    <row r="36" spans="1:17" ht="12.75">
      <c r="A36" s="288" t="s">
        <v>500</v>
      </c>
      <c r="B36" s="212">
        <v>56.11</v>
      </c>
      <c r="C36" s="534">
        <v>222</v>
      </c>
      <c r="D36" s="300">
        <v>1.12</v>
      </c>
      <c r="E36" s="255">
        <f aca="true" t="shared" si="14" ref="E36:E42">IF(ISNUMBER(D36),D36/100*D$67/$B36*$C36,"-")</f>
        <v>3.899540188914633</v>
      </c>
      <c r="F36" s="300">
        <v>1.35</v>
      </c>
      <c r="G36" s="255">
        <f aca="true" t="shared" si="15" ref="G36:G42">IF(ISNUMBER(F36),F36/100*F$67/$B36*$C36,"-")</f>
        <v>4.807164498306898</v>
      </c>
      <c r="H36" s="300">
        <v>0.93</v>
      </c>
      <c r="I36" s="255">
        <f aca="true" t="shared" si="16" ref="I36:I42">IF(ISNUMBER(H36),H36/100*H$67/$B36*$C36,"-")</f>
        <v>3.3042430939226524</v>
      </c>
      <c r="J36" s="301"/>
      <c r="K36" s="255" t="str">
        <f aca="true" t="shared" si="17" ref="K36:K42">IF(ISNUMBER(J36),J36/100*J$67/$B36*$C36,"-")</f>
        <v>-</v>
      </c>
      <c r="L36" s="301"/>
      <c r="M36" s="255" t="str">
        <f aca="true" t="shared" si="18" ref="M36:M42">IF(ISNUMBER(L36),L36/100*L$67/$B36*$C36,"-")</f>
        <v>-</v>
      </c>
      <c r="N36" s="301"/>
      <c r="O36" s="255" t="str">
        <f aca="true" t="shared" si="19" ref="O36:O42">IF(ISNUMBER(N36),N36/100*N$67/$B36*$C36,"-")</f>
        <v>-</v>
      </c>
      <c r="P36" s="301"/>
      <c r="Q36" s="255" t="str">
        <f aca="true" t="shared" si="20" ref="Q36:Q42">IF(ISNUMBER(P36),P36/100*P$67/$B36*$C36,"-")</f>
        <v>-</v>
      </c>
    </row>
    <row r="37" spans="1:17" ht="12.75">
      <c r="A37" s="252" t="s">
        <v>340</v>
      </c>
      <c r="B37" s="211">
        <v>70.13</v>
      </c>
      <c r="C37" s="534">
        <v>148</v>
      </c>
      <c r="D37" s="301">
        <v>4.41</v>
      </c>
      <c r="E37" s="255">
        <f t="shared" si="14"/>
        <v>8.189910166833025</v>
      </c>
      <c r="F37" s="300">
        <v>3.4</v>
      </c>
      <c r="G37" s="255">
        <f t="shared" si="15"/>
        <v>6.457721374590047</v>
      </c>
      <c r="H37" s="300">
        <v>1.3</v>
      </c>
      <c r="I37" s="255">
        <f t="shared" si="16"/>
        <v>2.463641808070726</v>
      </c>
      <c r="J37" s="301"/>
      <c r="K37" s="255" t="str">
        <f t="shared" si="17"/>
        <v>-</v>
      </c>
      <c r="L37" s="301"/>
      <c r="M37" s="255" t="str">
        <f t="shared" si="18"/>
        <v>-</v>
      </c>
      <c r="N37" s="301"/>
      <c r="O37" s="255" t="str">
        <f t="shared" si="19"/>
        <v>-</v>
      </c>
      <c r="P37" s="301"/>
      <c r="Q37" s="255" t="str">
        <f t="shared" si="20"/>
        <v>-</v>
      </c>
    </row>
    <row r="38" spans="1:17" ht="12.75">
      <c r="A38" s="252" t="s">
        <v>338</v>
      </c>
      <c r="B38" s="211">
        <v>84.16</v>
      </c>
      <c r="C38" s="534">
        <v>50</v>
      </c>
      <c r="D38" s="301">
        <v>2.2</v>
      </c>
      <c r="E38" s="255">
        <f t="shared" si="14"/>
        <v>1.1501901140684412</v>
      </c>
      <c r="F38" s="300">
        <v>1.9</v>
      </c>
      <c r="G38" s="255">
        <f t="shared" si="15"/>
        <v>1.015922053231939</v>
      </c>
      <c r="H38" s="300">
        <v>0.5</v>
      </c>
      <c r="I38" s="255">
        <f t="shared" si="16"/>
        <v>0.26675380228136886</v>
      </c>
      <c r="J38" s="300">
        <v>2</v>
      </c>
      <c r="K38" s="255">
        <f t="shared" si="17"/>
        <v>2.1387832699619773</v>
      </c>
      <c r="L38" s="301"/>
      <c r="M38" s="255" t="str">
        <f t="shared" si="18"/>
        <v>-</v>
      </c>
      <c r="N38" s="301"/>
      <c r="O38" s="255" t="str">
        <f t="shared" si="19"/>
        <v>-</v>
      </c>
      <c r="P38" s="301"/>
      <c r="Q38" s="255" t="str">
        <f t="shared" si="20"/>
        <v>-</v>
      </c>
    </row>
    <row r="39" spans="1:17" ht="12.75">
      <c r="A39" s="252" t="s">
        <v>341</v>
      </c>
      <c r="B39" s="211">
        <v>98.19</v>
      </c>
      <c r="C39" s="534">
        <v>14.1</v>
      </c>
      <c r="D39" s="301">
        <v>1.3</v>
      </c>
      <c r="E39" s="255">
        <f t="shared" si="14"/>
        <v>0.16427742132600062</v>
      </c>
      <c r="F39" s="300">
        <v>2.2</v>
      </c>
      <c r="G39" s="255">
        <f t="shared" si="15"/>
        <v>0.2843263061411549</v>
      </c>
      <c r="H39" s="300">
        <v>1.1</v>
      </c>
      <c r="I39" s="255">
        <f t="shared" si="16"/>
        <v>0.14184723495264284</v>
      </c>
      <c r="J39" s="301"/>
      <c r="K39" s="255" t="str">
        <f t="shared" si="17"/>
        <v>-</v>
      </c>
      <c r="L39" s="301"/>
      <c r="M39" s="255" t="str">
        <f t="shared" si="18"/>
        <v>-</v>
      </c>
      <c r="N39" s="301"/>
      <c r="O39" s="255" t="str">
        <f t="shared" si="19"/>
        <v>-</v>
      </c>
      <c r="P39" s="301"/>
      <c r="Q39" s="255" t="str">
        <f t="shared" si="20"/>
        <v>-</v>
      </c>
    </row>
    <row r="40" spans="1:17" ht="12.75">
      <c r="A40" s="252" t="s">
        <v>501</v>
      </c>
      <c r="B40" s="211">
        <v>112.22</v>
      </c>
      <c r="C40" s="534">
        <v>2.7</v>
      </c>
      <c r="D40" s="301">
        <v>0.9</v>
      </c>
      <c r="E40" s="255">
        <f t="shared" si="14"/>
        <v>0.01905542684013545</v>
      </c>
      <c r="F40" s="300">
        <v>2</v>
      </c>
      <c r="G40" s="255">
        <f t="shared" si="15"/>
        <v>0.043307788273035115</v>
      </c>
      <c r="H40" s="300">
        <v>1.2</v>
      </c>
      <c r="I40" s="255">
        <f t="shared" si="16"/>
        <v>0.025926929246123682</v>
      </c>
      <c r="J40" s="301"/>
      <c r="K40" s="255" t="str">
        <f t="shared" si="17"/>
        <v>-</v>
      </c>
      <c r="L40" s="301"/>
      <c r="M40" s="255" t="str">
        <f t="shared" si="18"/>
        <v>-</v>
      </c>
      <c r="N40" s="301"/>
      <c r="O40" s="255" t="str">
        <f t="shared" si="19"/>
        <v>-</v>
      </c>
      <c r="P40" s="301"/>
      <c r="Q40" s="255" t="str">
        <f t="shared" si="20"/>
        <v>-</v>
      </c>
    </row>
    <row r="41" spans="1:17" ht="12.75">
      <c r="A41" s="252" t="s">
        <v>502</v>
      </c>
      <c r="B41" s="213">
        <v>126.24</v>
      </c>
      <c r="C41" s="534">
        <v>0.63</v>
      </c>
      <c r="D41" s="301">
        <v>1.2</v>
      </c>
      <c r="E41" s="255">
        <f t="shared" si="14"/>
        <v>0.005269961977186313</v>
      </c>
      <c r="F41" s="300">
        <v>1</v>
      </c>
      <c r="G41" s="255">
        <f t="shared" si="15"/>
        <v>0.004491444866920153</v>
      </c>
      <c r="H41" s="300">
        <v>0.7</v>
      </c>
      <c r="I41" s="255">
        <f t="shared" si="16"/>
        <v>0.003137024714828897</v>
      </c>
      <c r="J41" s="301"/>
      <c r="K41" s="255" t="str">
        <f t="shared" si="17"/>
        <v>-</v>
      </c>
      <c r="L41" s="301"/>
      <c r="M41" s="255" t="str">
        <f t="shared" si="18"/>
        <v>-</v>
      </c>
      <c r="N41" s="301"/>
      <c r="O41" s="255" t="str">
        <f t="shared" si="19"/>
        <v>-</v>
      </c>
      <c r="P41" s="301"/>
      <c r="Q41" s="255" t="str">
        <f t="shared" si="20"/>
        <v>-</v>
      </c>
    </row>
    <row r="42" spans="1:17" ht="12.75">
      <c r="A42" s="253" t="s">
        <v>503</v>
      </c>
      <c r="B42" s="219">
        <v>140.19</v>
      </c>
      <c r="C42" s="535">
        <v>0.1</v>
      </c>
      <c r="D42" s="302">
        <v>1.2</v>
      </c>
      <c r="E42" s="256">
        <f t="shared" si="14"/>
        <v>0.0007532634282045795</v>
      </c>
      <c r="F42" s="536">
        <v>0.8</v>
      </c>
      <c r="G42" s="256">
        <f t="shared" si="15"/>
        <v>0.0005135887010485769</v>
      </c>
      <c r="H42" s="536">
        <v>0.4</v>
      </c>
      <c r="I42" s="256">
        <f t="shared" si="16"/>
        <v>0.0002562236964120123</v>
      </c>
      <c r="J42" s="536">
        <v>3</v>
      </c>
      <c r="K42" s="256">
        <f t="shared" si="17"/>
        <v>0.0038519152578643267</v>
      </c>
      <c r="L42" s="302"/>
      <c r="M42" s="256" t="str">
        <f t="shared" si="18"/>
        <v>-</v>
      </c>
      <c r="N42" s="302"/>
      <c r="O42" s="256" t="str">
        <f t="shared" si="19"/>
        <v>-</v>
      </c>
      <c r="P42" s="302"/>
      <c r="Q42" s="256" t="str">
        <f t="shared" si="20"/>
        <v>-</v>
      </c>
    </row>
    <row r="43" spans="1:17" ht="13.5" thickBot="1">
      <c r="A43" s="254" t="s">
        <v>929</v>
      </c>
      <c r="B43" s="254"/>
      <c r="C43" s="257"/>
      <c r="D43" s="258">
        <f aca="true" t="shared" si="21" ref="D43:J43">SUM(D36:D42)</f>
        <v>12.33</v>
      </c>
      <c r="E43" s="260">
        <f t="shared" si="21"/>
        <v>13.428996543387624</v>
      </c>
      <c r="F43" s="258">
        <f t="shared" si="21"/>
        <v>12.650000000000002</v>
      </c>
      <c r="G43" s="260">
        <f t="shared" si="21"/>
        <v>12.613447054111043</v>
      </c>
      <c r="H43" s="258">
        <f t="shared" si="21"/>
        <v>6.130000000000001</v>
      </c>
      <c r="I43" s="260">
        <f t="shared" si="21"/>
        <v>6.205806116884754</v>
      </c>
      <c r="J43" s="258">
        <f t="shared" si="21"/>
        <v>5</v>
      </c>
      <c r="K43" s="260">
        <f aca="true" t="shared" si="22" ref="K43:Q43">SUM(K36:K42)</f>
        <v>2.1426351852198415</v>
      </c>
      <c r="L43" s="258">
        <f t="shared" si="22"/>
        <v>0</v>
      </c>
      <c r="M43" s="260">
        <f t="shared" si="22"/>
        <v>0</v>
      </c>
      <c r="N43" s="258">
        <f t="shared" si="22"/>
        <v>0</v>
      </c>
      <c r="O43" s="260">
        <f t="shared" si="22"/>
        <v>0</v>
      </c>
      <c r="P43" s="258">
        <f t="shared" si="22"/>
        <v>0</v>
      </c>
      <c r="Q43" s="260">
        <f t="shared" si="22"/>
        <v>0</v>
      </c>
    </row>
    <row r="44" spans="1:17" ht="12.75">
      <c r="A44" s="269" t="s">
        <v>345</v>
      </c>
      <c r="B44" s="269"/>
      <c r="C44" s="271"/>
      <c r="D44" s="273"/>
      <c r="E44" s="274"/>
      <c r="F44" s="273"/>
      <c r="G44" s="274"/>
      <c r="H44" s="273"/>
      <c r="I44" s="274"/>
      <c r="J44" s="273"/>
      <c r="K44" s="280"/>
      <c r="L44" s="273"/>
      <c r="M44" s="280"/>
      <c r="N44" s="287"/>
      <c r="O44" s="280"/>
      <c r="P44" s="273"/>
      <c r="Q44" s="280"/>
    </row>
    <row r="45" spans="1:17" ht="12.75">
      <c r="A45" s="252" t="s">
        <v>112</v>
      </c>
      <c r="B45" s="211">
        <v>78.11</v>
      </c>
      <c r="C45" s="534">
        <v>1780</v>
      </c>
      <c r="D45" s="301">
        <v>0.88</v>
      </c>
      <c r="E45" s="255">
        <f aca="true" t="shared" si="23" ref="E45:E52">IF(ISNUMBER(D45),D45/100*D$67/$B45*$C45,"-")</f>
        <v>17.647317885033928</v>
      </c>
      <c r="F45" s="300">
        <v>0.86</v>
      </c>
      <c r="G45" s="255">
        <f aca="true" t="shared" si="24" ref="G45:G52">IF(ISNUMBER(F45),F45/100*F$67/$B45*$C45,"-")</f>
        <v>17.6382025348867</v>
      </c>
      <c r="H45" s="300">
        <v>0.66</v>
      </c>
      <c r="I45" s="255">
        <f aca="true" t="shared" si="25" ref="I45:I52">IF(ISNUMBER(H45),H45/100*H$67/$B45*$C45,"-")</f>
        <v>13.506214313148124</v>
      </c>
      <c r="J45" s="301"/>
      <c r="K45" s="255" t="str">
        <f aca="true" t="shared" si="26" ref="K45:K52">IF(ISNUMBER(J45),J45/100*J$67/$B45*$C45,"-")</f>
        <v>-</v>
      </c>
      <c r="L45" s="301"/>
      <c r="M45" s="255" t="str">
        <f aca="true" t="shared" si="27" ref="M45:M52">IF(ISNUMBER(L45),L45/100*L$67/$B45*$C45,"-")</f>
        <v>-</v>
      </c>
      <c r="N45" s="301"/>
      <c r="O45" s="255" t="str">
        <f aca="true" t="shared" si="28" ref="O45:O52">IF(ISNUMBER(N45),N45/100*N$67/$B45*$C45,"-")</f>
        <v>-</v>
      </c>
      <c r="P45" s="301"/>
      <c r="Q45" s="255" t="str">
        <f aca="true" t="shared" si="29" ref="Q45:Q52">IF(ISNUMBER(P45),P45/100*P$67/$B45*$C45,"-")</f>
        <v>-</v>
      </c>
    </row>
    <row r="46" spans="1:17" ht="12.75">
      <c r="A46" s="252" t="s">
        <v>114</v>
      </c>
      <c r="B46" s="211">
        <v>92.13</v>
      </c>
      <c r="C46" s="534">
        <v>515</v>
      </c>
      <c r="D46" s="301">
        <v>10.82</v>
      </c>
      <c r="E46" s="255">
        <f t="shared" si="23"/>
        <v>53.225051557581686</v>
      </c>
      <c r="F46" s="300">
        <v>11.96</v>
      </c>
      <c r="G46" s="255">
        <f t="shared" si="24"/>
        <v>60.16997720612179</v>
      </c>
      <c r="H46" s="300">
        <v>12.52</v>
      </c>
      <c r="I46" s="255">
        <f t="shared" si="25"/>
        <v>62.847328774557695</v>
      </c>
      <c r="J46" s="301"/>
      <c r="K46" s="255" t="str">
        <f t="shared" si="26"/>
        <v>-</v>
      </c>
      <c r="L46" s="301"/>
      <c r="M46" s="255" t="str">
        <f t="shared" si="27"/>
        <v>-</v>
      </c>
      <c r="N46" s="301"/>
      <c r="O46" s="255" t="str">
        <f t="shared" si="28"/>
        <v>-</v>
      </c>
      <c r="P46" s="301"/>
      <c r="Q46" s="255" t="str">
        <f t="shared" si="29"/>
        <v>-</v>
      </c>
    </row>
    <row r="47" spans="1:17" ht="12.75">
      <c r="A47" s="252" t="s">
        <v>960</v>
      </c>
      <c r="B47" s="211">
        <v>106.17</v>
      </c>
      <c r="C47" s="534">
        <v>166</v>
      </c>
      <c r="D47" s="301">
        <v>8.34</v>
      </c>
      <c r="E47" s="255">
        <f t="shared" si="23"/>
        <v>11.475060751624751</v>
      </c>
      <c r="F47" s="300">
        <v>10.75</v>
      </c>
      <c r="G47" s="255">
        <f t="shared" si="24"/>
        <v>15.127154563436</v>
      </c>
      <c r="H47" s="300">
        <v>10.42</v>
      </c>
      <c r="I47" s="255">
        <f t="shared" si="25"/>
        <v>14.630202128661582</v>
      </c>
      <c r="J47" s="300">
        <v>1</v>
      </c>
      <c r="K47" s="255">
        <f t="shared" si="26"/>
        <v>2.814354337383442</v>
      </c>
      <c r="L47" s="301"/>
      <c r="M47" s="255" t="str">
        <f t="shared" si="27"/>
        <v>-</v>
      </c>
      <c r="N47" s="301"/>
      <c r="O47" s="255" t="str">
        <f t="shared" si="28"/>
        <v>-</v>
      </c>
      <c r="P47" s="301"/>
      <c r="Q47" s="255" t="str">
        <f t="shared" si="29"/>
        <v>-</v>
      </c>
    </row>
    <row r="48" spans="1:17" ht="12.75">
      <c r="A48" s="252" t="s">
        <v>113</v>
      </c>
      <c r="B48" s="211">
        <v>106.2</v>
      </c>
      <c r="C48" s="534">
        <v>161.4</v>
      </c>
      <c r="D48" s="301">
        <v>2.23</v>
      </c>
      <c r="E48" s="255">
        <f t="shared" si="23"/>
        <v>2.9824045197740117</v>
      </c>
      <c r="F48" s="300">
        <v>2.79</v>
      </c>
      <c r="G48" s="255">
        <f t="shared" si="24"/>
        <v>3.816152542372882</v>
      </c>
      <c r="H48" s="300">
        <v>2.33</v>
      </c>
      <c r="I48" s="255">
        <f t="shared" si="25"/>
        <v>3.1798839548022597</v>
      </c>
      <c r="J48" s="300">
        <v>1</v>
      </c>
      <c r="K48" s="255">
        <f t="shared" si="26"/>
        <v>2.7355932203389832</v>
      </c>
      <c r="L48" s="301"/>
      <c r="M48" s="255" t="str">
        <f t="shared" si="27"/>
        <v>-</v>
      </c>
      <c r="N48" s="301"/>
      <c r="O48" s="255" t="str">
        <f t="shared" si="28"/>
        <v>-</v>
      </c>
      <c r="P48" s="301"/>
      <c r="Q48" s="255" t="str">
        <f t="shared" si="29"/>
        <v>-</v>
      </c>
    </row>
    <row r="49" spans="1:17" ht="12.75">
      <c r="A49" s="252" t="s">
        <v>577</v>
      </c>
      <c r="B49" s="211">
        <v>120.2</v>
      </c>
      <c r="C49" s="534">
        <v>40</v>
      </c>
      <c r="D49" s="301">
        <v>3.49</v>
      </c>
      <c r="E49" s="255">
        <f t="shared" si="23"/>
        <v>1.0220299500831946</v>
      </c>
      <c r="F49" s="300">
        <v>4.52</v>
      </c>
      <c r="G49" s="255">
        <f t="shared" si="24"/>
        <v>1.3537437603993343</v>
      </c>
      <c r="H49" s="300">
        <v>5.12</v>
      </c>
      <c r="I49" s="255">
        <f t="shared" si="25"/>
        <v>1.5300366056572379</v>
      </c>
      <c r="J49" s="301">
        <v>2</v>
      </c>
      <c r="K49" s="255">
        <f t="shared" si="26"/>
        <v>1.1980033277870217</v>
      </c>
      <c r="L49" s="301"/>
      <c r="M49" s="255" t="str">
        <f t="shared" si="27"/>
        <v>-</v>
      </c>
      <c r="N49" s="301"/>
      <c r="O49" s="255" t="str">
        <f t="shared" si="28"/>
        <v>-</v>
      </c>
      <c r="P49" s="301"/>
      <c r="Q49" s="255" t="str">
        <f t="shared" si="29"/>
        <v>-</v>
      </c>
    </row>
    <row r="50" spans="1:17" ht="12.75">
      <c r="A50" s="252" t="s">
        <v>961</v>
      </c>
      <c r="B50" s="211">
        <v>120.2</v>
      </c>
      <c r="C50" s="534">
        <v>52.2</v>
      </c>
      <c r="D50" s="301">
        <v>0.89</v>
      </c>
      <c r="E50" s="255">
        <f t="shared" si="23"/>
        <v>0.3401251247920133</v>
      </c>
      <c r="F50" s="300">
        <v>1.2</v>
      </c>
      <c r="G50" s="255">
        <f t="shared" si="24"/>
        <v>0.469018302828619</v>
      </c>
      <c r="H50" s="300">
        <v>1.32</v>
      </c>
      <c r="I50" s="255">
        <f t="shared" si="25"/>
        <v>0.5147736439267887</v>
      </c>
      <c r="J50" s="301">
        <v>1</v>
      </c>
      <c r="K50" s="255">
        <f t="shared" si="26"/>
        <v>0.7816971713810317</v>
      </c>
      <c r="L50" s="301"/>
      <c r="M50" s="255" t="str">
        <f t="shared" si="27"/>
        <v>-</v>
      </c>
      <c r="N50" s="301"/>
      <c r="O50" s="255" t="str">
        <f t="shared" si="28"/>
        <v>-</v>
      </c>
      <c r="P50" s="301"/>
      <c r="Q50" s="255" t="str">
        <f t="shared" si="29"/>
        <v>-</v>
      </c>
    </row>
    <row r="51" spans="1:17" ht="12.75">
      <c r="A51" s="252" t="s">
        <v>344</v>
      </c>
      <c r="B51" s="211">
        <v>120.2</v>
      </c>
      <c r="C51" s="534">
        <v>75.2</v>
      </c>
      <c r="D51" s="301">
        <v>4.21</v>
      </c>
      <c r="E51" s="255">
        <f t="shared" si="23"/>
        <v>2.3178116472545756</v>
      </c>
      <c r="F51" s="300">
        <v>5.65</v>
      </c>
      <c r="G51" s="255">
        <f t="shared" si="24"/>
        <v>3.1812978369384357</v>
      </c>
      <c r="H51" s="300">
        <v>6.02</v>
      </c>
      <c r="I51" s="255">
        <f t="shared" si="25"/>
        <v>3.3820981031613973</v>
      </c>
      <c r="J51" s="301">
        <v>1</v>
      </c>
      <c r="K51" s="255">
        <f t="shared" si="26"/>
        <v>1.1261231281198003</v>
      </c>
      <c r="L51" s="301"/>
      <c r="M51" s="255" t="str">
        <f t="shared" si="27"/>
        <v>-</v>
      </c>
      <c r="N51" s="301"/>
      <c r="O51" s="255" t="str">
        <f t="shared" si="28"/>
        <v>-</v>
      </c>
      <c r="P51" s="301"/>
      <c r="Q51" s="255" t="str">
        <f t="shared" si="29"/>
        <v>-</v>
      </c>
    </row>
    <row r="52" spans="1:17" ht="12.75">
      <c r="A52" s="253" t="s">
        <v>371</v>
      </c>
      <c r="B52" s="219">
        <v>118.18</v>
      </c>
      <c r="C52" s="535">
        <v>109</v>
      </c>
      <c r="D52" s="302">
        <v>0.59</v>
      </c>
      <c r="E52" s="256">
        <f t="shared" si="23"/>
        <v>0.47886952106955494</v>
      </c>
      <c r="F52" s="536">
        <v>0.47</v>
      </c>
      <c r="G52" s="256">
        <f t="shared" si="24"/>
        <v>0.39014215603316965</v>
      </c>
      <c r="H52" s="536">
        <v>0.41</v>
      </c>
      <c r="I52" s="256">
        <f t="shared" si="25"/>
        <v>0.3395804704687764</v>
      </c>
      <c r="J52" s="536">
        <v>6</v>
      </c>
      <c r="K52" s="256">
        <f t="shared" si="26"/>
        <v>9.961076324251142</v>
      </c>
      <c r="L52" s="302"/>
      <c r="M52" s="256" t="str">
        <f t="shared" si="27"/>
        <v>-</v>
      </c>
      <c r="N52" s="302"/>
      <c r="O52" s="256" t="str">
        <f t="shared" si="28"/>
        <v>-</v>
      </c>
      <c r="P52" s="302"/>
      <c r="Q52" s="256" t="str">
        <f t="shared" si="29"/>
        <v>-</v>
      </c>
    </row>
    <row r="53" spans="1:17" ht="13.5" thickBot="1">
      <c r="A53" s="254" t="s">
        <v>935</v>
      </c>
      <c r="B53" s="267"/>
      <c r="C53" s="257"/>
      <c r="D53" s="268">
        <f aca="true" t="shared" si="30" ref="D53:I53">SUM(D45:D52)</f>
        <v>31.45</v>
      </c>
      <c r="E53" s="260">
        <f t="shared" si="30"/>
        <v>89.48867095721371</v>
      </c>
      <c r="F53" s="268">
        <f t="shared" si="30"/>
        <v>38.199999999999996</v>
      </c>
      <c r="G53" s="260">
        <f t="shared" si="30"/>
        <v>102.14568890301693</v>
      </c>
      <c r="H53" s="268">
        <f t="shared" si="30"/>
        <v>38.8</v>
      </c>
      <c r="I53" s="260">
        <f t="shared" si="30"/>
        <v>99.93011799438386</v>
      </c>
      <c r="J53" s="268">
        <f aca="true" t="shared" si="31" ref="J53:Q54">SUM(J45:J52)</f>
        <v>12</v>
      </c>
      <c r="K53" s="260">
        <f t="shared" si="31"/>
        <v>18.61684750926142</v>
      </c>
      <c r="L53" s="268">
        <f t="shared" si="31"/>
        <v>0</v>
      </c>
      <c r="M53" s="260">
        <f t="shared" si="31"/>
        <v>0</v>
      </c>
      <c r="N53" s="268">
        <f t="shared" si="31"/>
        <v>0</v>
      </c>
      <c r="O53" s="260">
        <f t="shared" si="31"/>
        <v>0</v>
      </c>
      <c r="P53" s="268">
        <f t="shared" si="31"/>
        <v>0</v>
      </c>
      <c r="Q53" s="260">
        <f t="shared" si="31"/>
        <v>0</v>
      </c>
    </row>
    <row r="54" spans="1:17" ht="13.5" thickBot="1">
      <c r="A54" s="277" t="s">
        <v>115</v>
      </c>
      <c r="B54" s="285">
        <v>88.15</v>
      </c>
      <c r="C54" s="278">
        <v>51000</v>
      </c>
      <c r="D54" s="286">
        <v>0.14</v>
      </c>
      <c r="E54" s="255">
        <f>IF(ISNUMBER(D54),D54/100*D$67/$B54*$C54,"-")</f>
        <v>71.27850255246739</v>
      </c>
      <c r="F54" s="279">
        <v>2.3</v>
      </c>
      <c r="G54" s="255">
        <f>IF(ISNUMBER(F54),F54/100*F$67/$B54*$C54,"-")</f>
        <v>1197.6176971072034</v>
      </c>
      <c r="H54" s="279">
        <v>10</v>
      </c>
      <c r="I54" s="255">
        <f>IF(ISNUMBER(H54),H54/100*H$67/$B54*$C54,"-")</f>
        <v>5195.462280204198</v>
      </c>
      <c r="J54" s="276" t="s">
        <v>963</v>
      </c>
      <c r="K54" s="255" t="str">
        <f>IF(ISNUMBER(J54),J54/100*J$67/$B54*$C54,"-")</f>
        <v>-</v>
      </c>
      <c r="L54" s="276" t="s">
        <v>963</v>
      </c>
      <c r="M54" s="255" t="str">
        <f>IF(ISNUMBER(L54),L54/100*L$67/$B54*$C54,"-")</f>
        <v>-</v>
      </c>
      <c r="N54" s="276" t="s">
        <v>963</v>
      </c>
      <c r="O54" s="255" t="str">
        <f>IF(ISNUMBER(N54),N54/100*N$67/$B54*$C54,"-")</f>
        <v>-</v>
      </c>
      <c r="P54" s="276" t="s">
        <v>963</v>
      </c>
      <c r="Q54" s="255" t="str">
        <f>IF(ISNUMBER(P54),P54/100*P$67/$B54*$C54,"-")</f>
        <v>-</v>
      </c>
    </row>
    <row r="55" spans="1:17" ht="12.75">
      <c r="A55" s="269" t="s">
        <v>118</v>
      </c>
      <c r="B55" s="270"/>
      <c r="C55" s="271"/>
      <c r="D55" s="272"/>
      <c r="E55" s="281"/>
      <c r="F55" s="273"/>
      <c r="G55" s="281"/>
      <c r="H55" s="273"/>
      <c r="I55" s="281"/>
      <c r="J55" s="273"/>
      <c r="K55" s="281"/>
      <c r="L55" s="273"/>
      <c r="M55" s="281"/>
      <c r="N55" s="273"/>
      <c r="O55" s="281"/>
      <c r="P55" s="273"/>
      <c r="Q55" s="281"/>
    </row>
    <row r="56" spans="1:17" ht="12.75">
      <c r="A56" s="252" t="s">
        <v>655</v>
      </c>
      <c r="B56" s="211">
        <v>116.16</v>
      </c>
      <c r="C56" s="534">
        <v>67.47</v>
      </c>
      <c r="D56" s="301">
        <v>0.1</v>
      </c>
      <c r="E56" s="255">
        <f aca="true" t="shared" si="32" ref="E56:E64">IF(ISNUMBER(D56),D56/100*D$67/$B56*$C56,"-")</f>
        <v>0.05111363636363636</v>
      </c>
      <c r="F56" s="300">
        <v>0.06</v>
      </c>
      <c r="G56" s="255">
        <f aca="true" t="shared" si="33" ref="G56:G64">IF(ISNUMBER(F56),F56/100*F$67/$B56*$C56,"-")</f>
        <v>0.03136518595041322</v>
      </c>
      <c r="H56" s="300">
        <v>0.03</v>
      </c>
      <c r="I56" s="255">
        <f aca="true" t="shared" si="34" ref="I56:I64">IF(ISNUMBER(H56),H56/100*H$67/$B56*$C56,"-")</f>
        <v>0.015647742768595038</v>
      </c>
      <c r="J56" s="300">
        <v>5.9</v>
      </c>
      <c r="K56" s="255">
        <f aca="true" t="shared" si="35" ref="K56:K64">IF(ISNUMBER(J56),J56/100*J$67/$B56*$C56,"-")</f>
        <v>6.168486570247935</v>
      </c>
      <c r="L56" s="301"/>
      <c r="M56" s="255" t="str">
        <f aca="true" t="shared" si="36" ref="M56:M64">IF(ISNUMBER(L56),L56/100*L$67/$B56*$C56,"-")</f>
        <v>-</v>
      </c>
      <c r="N56" s="301"/>
      <c r="O56" s="255" t="str">
        <f aca="true" t="shared" si="37" ref="O56:O64">IF(ISNUMBER(N56),N56/100*N$67/$B56*$C56,"-")</f>
        <v>-</v>
      </c>
      <c r="P56" s="301"/>
      <c r="Q56" s="255" t="str">
        <f aca="true" t="shared" si="38" ref="Q56:Q64">IF(ISNUMBER(P56),P56/100*P$67/$B56*$C56,"-")</f>
        <v>-</v>
      </c>
    </row>
    <row r="57" spans="1:17" ht="12.75">
      <c r="A57" s="252" t="s">
        <v>263</v>
      </c>
      <c r="B57" s="211">
        <v>128.18</v>
      </c>
      <c r="C57" s="534">
        <v>31</v>
      </c>
      <c r="D57" s="301">
        <v>0.28</v>
      </c>
      <c r="E57" s="255">
        <f t="shared" si="32"/>
        <v>0.05959119987517554</v>
      </c>
      <c r="F57" s="300">
        <v>0.23</v>
      </c>
      <c r="G57" s="255">
        <f t="shared" si="33"/>
        <v>0.05006241223279762</v>
      </c>
      <c r="H57" s="300">
        <v>0.22</v>
      </c>
      <c r="I57" s="255">
        <f t="shared" si="34"/>
        <v>0.04777937275706039</v>
      </c>
      <c r="J57" s="301">
        <v>2</v>
      </c>
      <c r="K57" s="255">
        <f t="shared" si="35"/>
        <v>0.8706506475269152</v>
      </c>
      <c r="L57" s="301"/>
      <c r="M57" s="255" t="str">
        <f t="shared" si="36"/>
        <v>-</v>
      </c>
      <c r="N57" s="301"/>
      <c r="O57" s="255" t="str">
        <f t="shared" si="37"/>
        <v>-</v>
      </c>
      <c r="P57" s="301">
        <v>0.085</v>
      </c>
      <c r="Q57" s="255">
        <f t="shared" si="38"/>
        <v>0.05139257294429708</v>
      </c>
    </row>
    <row r="58" spans="1:17" ht="12.75">
      <c r="A58" s="252" t="s">
        <v>907</v>
      </c>
      <c r="B58" s="211">
        <v>142.2</v>
      </c>
      <c r="C58" s="534">
        <v>25.8</v>
      </c>
      <c r="D58" s="301">
        <v>0.15</v>
      </c>
      <c r="E58" s="255">
        <f t="shared" si="32"/>
        <v>0.0239493670886076</v>
      </c>
      <c r="F58" s="300">
        <v>0.16</v>
      </c>
      <c r="G58" s="255">
        <f t="shared" si="33"/>
        <v>0.026126582278481022</v>
      </c>
      <c r="H58" s="300">
        <v>0.16</v>
      </c>
      <c r="I58" s="255">
        <f t="shared" si="34"/>
        <v>0.02606852320675106</v>
      </c>
      <c r="J58" s="301">
        <v>3</v>
      </c>
      <c r="K58" s="255">
        <f t="shared" si="35"/>
        <v>0.979746835443038</v>
      </c>
      <c r="L58" s="301"/>
      <c r="M58" s="255" t="str">
        <f t="shared" si="36"/>
        <v>-</v>
      </c>
      <c r="N58" s="301"/>
      <c r="O58" s="255" t="str">
        <f t="shared" si="37"/>
        <v>-</v>
      </c>
      <c r="P58" s="301"/>
      <c r="Q58" s="255" t="str">
        <f t="shared" si="38"/>
        <v>-</v>
      </c>
    </row>
    <row r="59" spans="1:17" ht="12.75">
      <c r="A59" s="252" t="s">
        <v>265</v>
      </c>
      <c r="B59" s="211">
        <v>152.2</v>
      </c>
      <c r="C59" s="534">
        <v>16.1</v>
      </c>
      <c r="D59" s="301"/>
      <c r="E59" s="255" t="str">
        <f t="shared" si="32"/>
        <v>-</v>
      </c>
      <c r="F59" s="301"/>
      <c r="G59" s="255" t="str">
        <f t="shared" si="33"/>
        <v>-</v>
      </c>
      <c r="H59" s="301"/>
      <c r="I59" s="255" t="str">
        <f t="shared" si="34"/>
        <v>-</v>
      </c>
      <c r="J59" s="301"/>
      <c r="K59" s="255" t="str">
        <f t="shared" si="35"/>
        <v>-</v>
      </c>
      <c r="L59" s="301"/>
      <c r="M59" s="255" t="str">
        <f t="shared" si="36"/>
        <v>-</v>
      </c>
      <c r="N59" s="301"/>
      <c r="O59" s="255" t="str">
        <f t="shared" si="37"/>
        <v>-</v>
      </c>
      <c r="P59" s="301">
        <v>0.0022</v>
      </c>
      <c r="Q59" s="255">
        <f t="shared" si="38"/>
        <v>0.0005818002628120895</v>
      </c>
    </row>
    <row r="60" spans="1:17" ht="12.75">
      <c r="A60" s="252" t="s">
        <v>264</v>
      </c>
      <c r="B60" s="211">
        <v>154.21</v>
      </c>
      <c r="C60" s="534">
        <v>3.9</v>
      </c>
      <c r="D60" s="301"/>
      <c r="E60" s="255" t="str">
        <f t="shared" si="32"/>
        <v>-</v>
      </c>
      <c r="F60" s="301"/>
      <c r="G60" s="255" t="str">
        <f t="shared" si="33"/>
        <v>-</v>
      </c>
      <c r="H60" s="301"/>
      <c r="I60" s="255" t="str">
        <f t="shared" si="34"/>
        <v>-</v>
      </c>
      <c r="J60" s="301">
        <v>3.2</v>
      </c>
      <c r="K60" s="255">
        <f t="shared" si="35"/>
        <v>0.14567148693340248</v>
      </c>
      <c r="L60" s="301"/>
      <c r="M60" s="255" t="str">
        <f t="shared" si="36"/>
        <v>-</v>
      </c>
      <c r="N60" s="301"/>
      <c r="O60" s="255" t="str">
        <f t="shared" si="37"/>
        <v>-</v>
      </c>
      <c r="P60" s="301">
        <v>0.0087</v>
      </c>
      <c r="Q60" s="255">
        <f t="shared" si="38"/>
        <v>0.0005500616043058167</v>
      </c>
    </row>
    <row r="61" spans="1:17" ht="12.75">
      <c r="A61" s="252" t="s">
        <v>120</v>
      </c>
      <c r="B61" s="211">
        <v>166.22</v>
      </c>
      <c r="C61" s="534">
        <v>1.89</v>
      </c>
      <c r="D61" s="301">
        <v>0.00129</v>
      </c>
      <c r="E61" s="255">
        <f t="shared" si="32"/>
        <v>1.2907760798941158E-05</v>
      </c>
      <c r="F61" s="300">
        <v>0.0019</v>
      </c>
      <c r="G61" s="255">
        <f t="shared" si="33"/>
        <v>1.9443508603056192E-05</v>
      </c>
      <c r="H61" s="300">
        <v>0.002</v>
      </c>
      <c r="I61" s="255">
        <f t="shared" si="34"/>
        <v>2.042136926964264E-05</v>
      </c>
      <c r="J61" s="301">
        <v>2.2</v>
      </c>
      <c r="K61" s="255">
        <f t="shared" si="35"/>
        <v>0.045027072554445914</v>
      </c>
      <c r="L61" s="301"/>
      <c r="M61" s="255" t="str">
        <f t="shared" si="36"/>
        <v>-</v>
      </c>
      <c r="N61" s="301"/>
      <c r="O61" s="255" t="str">
        <f t="shared" si="37"/>
        <v>-</v>
      </c>
      <c r="P61" s="301">
        <v>0.0196</v>
      </c>
      <c r="Q61" s="255">
        <f t="shared" si="38"/>
        <v>0.0005571531704969318</v>
      </c>
    </row>
    <row r="62" spans="1:17" ht="12.75">
      <c r="A62" s="252" t="s">
        <v>121</v>
      </c>
      <c r="B62" s="211">
        <v>178.24</v>
      </c>
      <c r="C62" s="534">
        <v>1.15</v>
      </c>
      <c r="D62" s="301">
        <v>0.00213</v>
      </c>
      <c r="E62" s="255">
        <f t="shared" si="32"/>
        <v>1.2093581687612207E-05</v>
      </c>
      <c r="F62" s="300">
        <v>0.0033</v>
      </c>
      <c r="G62" s="255">
        <f t="shared" si="33"/>
        <v>1.9162365350089765E-05</v>
      </c>
      <c r="H62" s="300">
        <v>0.00346</v>
      </c>
      <c r="I62" s="255">
        <f t="shared" si="34"/>
        <v>2.0046802064631953E-05</v>
      </c>
      <c r="J62" s="301">
        <v>1.3</v>
      </c>
      <c r="K62" s="255">
        <f t="shared" si="35"/>
        <v>0.01509762118491921</v>
      </c>
      <c r="L62" s="301"/>
      <c r="M62" s="255" t="str">
        <f t="shared" si="36"/>
        <v>-</v>
      </c>
      <c r="N62" s="301"/>
      <c r="O62" s="255" t="str">
        <f t="shared" si="37"/>
        <v>-</v>
      </c>
      <c r="P62" s="301">
        <v>0.0545</v>
      </c>
      <c r="Q62" s="255">
        <f t="shared" si="38"/>
        <v>0.0008790815754039496</v>
      </c>
    </row>
    <row r="63" spans="1:17" ht="12.75">
      <c r="A63" s="252" t="s">
        <v>119</v>
      </c>
      <c r="B63" s="211">
        <v>178.24</v>
      </c>
      <c r="C63" s="534">
        <v>0.0434</v>
      </c>
      <c r="D63" s="301"/>
      <c r="E63" s="255" t="str">
        <f t="shared" si="32"/>
        <v>-</v>
      </c>
      <c r="F63" s="300">
        <v>0.00135</v>
      </c>
      <c r="G63" s="255">
        <f t="shared" si="33"/>
        <v>2.95842684021544E-07</v>
      </c>
      <c r="H63" s="300">
        <v>0.00154</v>
      </c>
      <c r="I63" s="255">
        <f t="shared" si="34"/>
        <v>3.367298473967683E-07</v>
      </c>
      <c r="J63" s="301"/>
      <c r="K63" s="255" t="str">
        <f t="shared" si="35"/>
        <v>-</v>
      </c>
      <c r="L63" s="301"/>
      <c r="M63" s="255" t="str">
        <f t="shared" si="36"/>
        <v>-</v>
      </c>
      <c r="N63" s="301"/>
      <c r="O63" s="255" t="str">
        <f t="shared" si="37"/>
        <v>-</v>
      </c>
      <c r="P63" s="301"/>
      <c r="Q63" s="255" t="str">
        <f t="shared" si="38"/>
        <v>-</v>
      </c>
    </row>
    <row r="64" spans="1:17" ht="12.75">
      <c r="A64" s="253" t="s">
        <v>374</v>
      </c>
      <c r="B64" s="219">
        <v>202.26</v>
      </c>
      <c r="C64" s="535">
        <v>0.26</v>
      </c>
      <c r="D64" s="302"/>
      <c r="E64" s="256" t="str">
        <f t="shared" si="32"/>
        <v>-</v>
      </c>
      <c r="F64" s="302"/>
      <c r="G64" s="256" t="str">
        <f t="shared" si="33"/>
        <v>-</v>
      </c>
      <c r="H64" s="302"/>
      <c r="I64" s="256" t="str">
        <f t="shared" si="34"/>
        <v>-</v>
      </c>
      <c r="J64" s="302"/>
      <c r="K64" s="256" t="str">
        <f t="shared" si="35"/>
        <v>-</v>
      </c>
      <c r="L64" s="302"/>
      <c r="M64" s="256" t="str">
        <f t="shared" si="36"/>
        <v>-</v>
      </c>
      <c r="N64" s="302"/>
      <c r="O64" s="256" t="str">
        <f t="shared" si="37"/>
        <v>-</v>
      </c>
      <c r="P64" s="302"/>
      <c r="Q64" s="256" t="str">
        <f t="shared" si="38"/>
        <v>-</v>
      </c>
    </row>
    <row r="65" spans="1:17" ht="13.5" thickBot="1">
      <c r="A65" s="242" t="s">
        <v>962</v>
      </c>
      <c r="B65" s="275"/>
      <c r="C65" s="261"/>
      <c r="D65" s="276">
        <f aca="true" t="shared" si="39" ref="D65:I65">SUM(D56:D64)</f>
        <v>0.53342</v>
      </c>
      <c r="E65" s="255">
        <f t="shared" si="39"/>
        <v>0.13467920466990604</v>
      </c>
      <c r="F65" s="276">
        <f t="shared" si="39"/>
        <v>0.4565500000000001</v>
      </c>
      <c r="G65" s="255">
        <f t="shared" si="39"/>
        <v>0.10759308217832902</v>
      </c>
      <c r="H65" s="276">
        <f t="shared" si="39"/>
        <v>0.41700000000000004</v>
      </c>
      <c r="I65" s="255">
        <f t="shared" si="39"/>
        <v>0.08953644363358816</v>
      </c>
      <c r="J65" s="276">
        <f aca="true" t="shared" si="40" ref="J65:Q65">SUM(J56:J64)</f>
        <v>17.6</v>
      </c>
      <c r="K65" s="255">
        <f t="shared" si="40"/>
        <v>8.224680233890656</v>
      </c>
      <c r="L65" s="276">
        <f t="shared" si="40"/>
        <v>0</v>
      </c>
      <c r="M65" s="255">
        <f t="shared" si="40"/>
        <v>0</v>
      </c>
      <c r="N65" s="276">
        <f t="shared" si="40"/>
        <v>0</v>
      </c>
      <c r="O65" s="255">
        <f t="shared" si="40"/>
        <v>0</v>
      </c>
      <c r="P65" s="276">
        <f t="shared" si="40"/>
        <v>0.16999999999999998</v>
      </c>
      <c r="Q65" s="255">
        <f t="shared" si="40"/>
        <v>0.05396066955731588</v>
      </c>
    </row>
    <row r="66" spans="1:17" ht="13.5" thickBot="1">
      <c r="A66" s="277" t="s">
        <v>964</v>
      </c>
      <c r="B66" s="277"/>
      <c r="C66" s="278"/>
      <c r="D66" s="279">
        <f>D28+D34+D43+D53+D65</f>
        <v>99.90342</v>
      </c>
      <c r="E66" s="282"/>
      <c r="F66" s="279">
        <f>F28+F34+F43+F53+F65</f>
        <v>99.20655000000001</v>
      </c>
      <c r="G66" s="282"/>
      <c r="H66" s="279">
        <f>H28+H34+H43+H53+H65</f>
        <v>99.53699999999999</v>
      </c>
      <c r="I66" s="282">
        <f aca="true" t="shared" si="41" ref="I66:Q66">I28+I34+I43+I53+I65</f>
        <v>121.77421748320467</v>
      </c>
      <c r="J66" s="279">
        <f t="shared" si="41"/>
        <v>97.6</v>
      </c>
      <c r="K66" s="282">
        <f t="shared" si="41"/>
        <v>48.00745755394637</v>
      </c>
      <c r="L66" s="279">
        <f t="shared" si="41"/>
        <v>0</v>
      </c>
      <c r="M66" s="282">
        <f t="shared" si="41"/>
        <v>0</v>
      </c>
      <c r="N66" s="279">
        <f t="shared" si="41"/>
        <v>0</v>
      </c>
      <c r="O66" s="282">
        <f t="shared" si="41"/>
        <v>0</v>
      </c>
      <c r="P66" s="279">
        <f t="shared" si="41"/>
        <v>0.16999999999999998</v>
      </c>
      <c r="Q66" s="282">
        <f t="shared" si="41"/>
        <v>0.05396066955731588</v>
      </c>
    </row>
    <row r="67" spans="1:17" ht="13.5" thickBot="1">
      <c r="A67" s="277" t="s">
        <v>936</v>
      </c>
      <c r="B67" s="203"/>
      <c r="C67" s="278"/>
      <c r="D67" s="537">
        <v>88</v>
      </c>
      <c r="E67" s="283"/>
      <c r="F67" s="537">
        <v>90</v>
      </c>
      <c r="G67" s="283"/>
      <c r="H67" s="537">
        <v>89.8</v>
      </c>
      <c r="I67" s="283"/>
      <c r="J67" s="537">
        <v>180</v>
      </c>
      <c r="K67" s="284"/>
      <c r="L67" s="537">
        <v>170</v>
      </c>
      <c r="M67" s="284"/>
      <c r="N67" s="538">
        <v>180</v>
      </c>
      <c r="O67" s="284"/>
      <c r="P67" s="537">
        <v>250</v>
      </c>
      <c r="Q67" s="284"/>
    </row>
    <row r="68" spans="1:17" ht="12.75">
      <c r="A68" s="204"/>
      <c r="B68" s="204"/>
      <c r="C68" s="231"/>
      <c r="D68" s="218"/>
      <c r="E68" s="222"/>
      <c r="F68" s="218"/>
      <c r="G68" s="222"/>
      <c r="H68" s="218"/>
      <c r="I68" s="222"/>
      <c r="J68" s="218"/>
      <c r="K68" s="222"/>
      <c r="L68" s="218"/>
      <c r="M68" s="222"/>
      <c r="N68" s="218"/>
      <c r="O68" s="222"/>
      <c r="P68" s="218"/>
      <c r="Q68" s="222"/>
    </row>
    <row r="69" spans="1:17" ht="12.75">
      <c r="A69" s="204"/>
      <c r="B69" s="204"/>
      <c r="C69" s="231"/>
      <c r="D69" s="218"/>
      <c r="E69" s="222"/>
      <c r="F69" s="218"/>
      <c r="G69" s="222"/>
      <c r="H69" s="218"/>
      <c r="I69" s="222"/>
      <c r="J69" s="218"/>
      <c r="K69" s="222"/>
      <c r="L69" s="218"/>
      <c r="M69" s="222"/>
      <c r="N69" s="218"/>
      <c r="O69" s="222"/>
      <c r="P69" s="218"/>
      <c r="Q69" s="222"/>
    </row>
  </sheetData>
  <sheetProtection password="9C67" sheet="1" objects="1" scenarios="1" selectLockedCells="1"/>
  <mergeCells count="8">
    <mergeCell ref="D6:Q6"/>
    <mergeCell ref="D7:E7"/>
    <mergeCell ref="F7:G7"/>
    <mergeCell ref="H7:I7"/>
    <mergeCell ref="P7:Q7"/>
    <mergeCell ref="J7:K7"/>
    <mergeCell ref="L7:M7"/>
    <mergeCell ref="N7:O7"/>
  </mergeCells>
  <printOptions/>
  <pageMargins left="0.75" right="0.75" top="1" bottom="1" header="0.4921259845" footer="0.4921259845"/>
  <pageSetup fitToHeight="2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M30"/>
  <sheetViews>
    <sheetView workbookViewId="0" topLeftCell="A1">
      <pane ySplit="8" topLeftCell="BM9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31.421875" style="0" customWidth="1"/>
    <col min="2" max="2" width="11.57421875" style="0" hidden="1" customWidth="1"/>
    <col min="3" max="3" width="12.421875" style="7" hidden="1" customWidth="1"/>
    <col min="4" max="4" width="12.140625" style="4" customWidth="1"/>
    <col min="5" max="5" width="11.00390625" style="0" customWidth="1"/>
    <col min="6" max="6" width="11.421875" style="4" customWidth="1"/>
    <col min="7" max="7" width="11.00390625" style="0" customWidth="1"/>
    <col min="8" max="8" width="11.421875" style="4" customWidth="1"/>
    <col min="9" max="9" width="10.140625" style="0" customWidth="1"/>
    <col min="10" max="10" width="11.00390625" style="4" customWidth="1"/>
    <col min="11" max="11" width="10.140625" style="0" customWidth="1"/>
    <col min="12" max="12" width="11.421875" style="4" customWidth="1"/>
    <col min="13" max="13" width="10.140625" style="0" customWidth="1"/>
  </cols>
  <sheetData>
    <row r="1" ht="18">
      <c r="A1" s="2" t="s">
        <v>959</v>
      </c>
    </row>
    <row r="2" ht="12.75">
      <c r="A2" t="s">
        <v>958</v>
      </c>
    </row>
    <row r="3" ht="12.75">
      <c r="A3" t="s">
        <v>1065</v>
      </c>
    </row>
    <row r="4" ht="13.5" thickBot="1">
      <c r="A4" s="103" t="s">
        <v>1064</v>
      </c>
    </row>
    <row r="5" spans="1:13" ht="12.75">
      <c r="A5" s="209"/>
      <c r="B5" s="209"/>
      <c r="C5" s="223" t="s">
        <v>940</v>
      </c>
      <c r="D5" s="628" t="s">
        <v>951</v>
      </c>
      <c r="E5" s="629"/>
      <c r="F5" s="629"/>
      <c r="G5" s="629"/>
      <c r="H5" s="629"/>
      <c r="I5" s="629"/>
      <c r="J5" s="629"/>
      <c r="K5" s="629"/>
      <c r="L5" s="629"/>
      <c r="M5" s="630"/>
    </row>
    <row r="6" spans="1:13" ht="12.75">
      <c r="A6" s="210" t="s">
        <v>956</v>
      </c>
      <c r="B6" s="210" t="s">
        <v>924</v>
      </c>
      <c r="C6" s="220" t="s">
        <v>941</v>
      </c>
      <c r="D6" s="631" t="s">
        <v>945</v>
      </c>
      <c r="E6" s="632"/>
      <c r="F6" s="631" t="s">
        <v>946</v>
      </c>
      <c r="G6" s="632"/>
      <c r="H6" s="631" t="s">
        <v>947</v>
      </c>
      <c r="I6" s="632"/>
      <c r="J6" s="631" t="s">
        <v>948</v>
      </c>
      <c r="K6" s="633"/>
      <c r="L6" s="631" t="s">
        <v>949</v>
      </c>
      <c r="M6" s="633"/>
    </row>
    <row r="7" spans="1:13" ht="12.75">
      <c r="A7" s="210"/>
      <c r="B7" s="210"/>
      <c r="C7" s="220" t="s">
        <v>957</v>
      </c>
      <c r="D7" s="216" t="s">
        <v>954</v>
      </c>
      <c r="E7" s="214" t="s">
        <v>934</v>
      </c>
      <c r="F7" s="216" t="s">
        <v>954</v>
      </c>
      <c r="G7" s="214" t="s">
        <v>934</v>
      </c>
      <c r="H7" s="216" t="s">
        <v>954</v>
      </c>
      <c r="I7" s="214" t="s">
        <v>934</v>
      </c>
      <c r="J7" s="216" t="s">
        <v>954</v>
      </c>
      <c r="K7" s="214" t="s">
        <v>934</v>
      </c>
      <c r="L7" s="216" t="s">
        <v>954</v>
      </c>
      <c r="M7" s="214" t="s">
        <v>934</v>
      </c>
    </row>
    <row r="8" spans="1:13" ht="13.5" thickBot="1">
      <c r="A8" s="208"/>
      <c r="B8" s="205" t="s">
        <v>519</v>
      </c>
      <c r="C8" s="221" t="s">
        <v>966</v>
      </c>
      <c r="D8" s="217" t="s">
        <v>967</v>
      </c>
      <c r="E8" s="205" t="s">
        <v>966</v>
      </c>
      <c r="F8" s="217" t="s">
        <v>967</v>
      </c>
      <c r="G8" s="205" t="s">
        <v>966</v>
      </c>
      <c r="H8" s="217" t="s">
        <v>967</v>
      </c>
      <c r="I8" s="205" t="s">
        <v>966</v>
      </c>
      <c r="J8" s="217" t="s">
        <v>967</v>
      </c>
      <c r="K8" s="205" t="s">
        <v>966</v>
      </c>
      <c r="L8" s="217" t="s">
        <v>967</v>
      </c>
      <c r="M8" s="205" t="s">
        <v>966</v>
      </c>
    </row>
    <row r="9" spans="1:13" s="189" customFormat="1" ht="12.75">
      <c r="A9" s="288" t="s">
        <v>263</v>
      </c>
      <c r="B9" s="215">
        <v>128.18</v>
      </c>
      <c r="C9" s="297">
        <v>119.4</v>
      </c>
      <c r="D9" s="615">
        <v>0</v>
      </c>
      <c r="E9" s="294">
        <f>D9/100*D$29/$B9*$C9</f>
        <v>0</v>
      </c>
      <c r="F9" s="616">
        <v>4.5</v>
      </c>
      <c r="G9" s="294">
        <f>F9/100*F$29/$B9*$C9</f>
        <v>10.898580121703853</v>
      </c>
      <c r="H9" s="616">
        <v>12.3</v>
      </c>
      <c r="I9" s="294">
        <f>H9/100*H$29/$B9*$C9</f>
        <v>26.352207832735218</v>
      </c>
      <c r="J9" s="616">
        <v>9.49</v>
      </c>
      <c r="K9" s="294">
        <f aca="true" t="shared" si="0" ref="K9:K24">J9/100*J$29/$B9*$C9</f>
        <v>12.287543610547667</v>
      </c>
      <c r="L9" s="621">
        <v>0.37</v>
      </c>
      <c r="M9" s="294">
        <f aca="true" t="shared" si="1" ref="M9:M24">L9/100*L$29/$B9*$C9</f>
        <v>0.5997013574660633</v>
      </c>
    </row>
    <row r="10" spans="1:13" ht="12.75">
      <c r="A10" s="252" t="s">
        <v>265</v>
      </c>
      <c r="B10" s="211">
        <v>152.2</v>
      </c>
      <c r="C10" s="298">
        <v>51.4</v>
      </c>
      <c r="D10" s="616">
        <v>0</v>
      </c>
      <c r="E10" s="294">
        <f aca="true" t="shared" si="2" ref="E10:E24">D10/100*D$29/$B10*$C10</f>
        <v>0</v>
      </c>
      <c r="F10" s="617">
        <v>0.24</v>
      </c>
      <c r="G10" s="294">
        <f aca="true" t="shared" si="3" ref="G10:I24">F10/100*F$29/$B10*$C10</f>
        <v>0.21073324572930355</v>
      </c>
      <c r="H10" s="617">
        <v>1.88</v>
      </c>
      <c r="I10" s="294">
        <f t="shared" si="3"/>
        <v>1.46027332457293</v>
      </c>
      <c r="J10" s="617">
        <v>0</v>
      </c>
      <c r="K10" s="294">
        <f t="shared" si="0"/>
        <v>0</v>
      </c>
      <c r="L10" s="622">
        <v>0</v>
      </c>
      <c r="M10" s="294">
        <f t="shared" si="1"/>
        <v>0</v>
      </c>
    </row>
    <row r="11" spans="1:13" ht="12.75">
      <c r="A11" s="252" t="s">
        <v>264</v>
      </c>
      <c r="B11" s="211">
        <v>154.21</v>
      </c>
      <c r="C11" s="298">
        <v>18.2</v>
      </c>
      <c r="D11" s="617">
        <v>0</v>
      </c>
      <c r="E11" s="294">
        <f t="shared" si="2"/>
        <v>0</v>
      </c>
      <c r="F11" s="617">
        <v>0.07</v>
      </c>
      <c r="G11" s="294">
        <f t="shared" si="3"/>
        <v>0.02147980027235588</v>
      </c>
      <c r="H11" s="617">
        <v>0.08</v>
      </c>
      <c r="I11" s="294">
        <f t="shared" si="3"/>
        <v>0.021715842033590557</v>
      </c>
      <c r="J11" s="617">
        <v>6.07</v>
      </c>
      <c r="K11" s="294">
        <f t="shared" si="0"/>
        <v>0.9957775760326827</v>
      </c>
      <c r="L11" s="622">
        <v>1.98</v>
      </c>
      <c r="M11" s="294">
        <f t="shared" si="1"/>
        <v>0.4066055379028597</v>
      </c>
    </row>
    <row r="12" spans="1:13" ht="12.75">
      <c r="A12" s="252" t="s">
        <v>120</v>
      </c>
      <c r="B12" s="211">
        <v>166.2</v>
      </c>
      <c r="C12" s="298">
        <v>18.1</v>
      </c>
      <c r="D12" s="617">
        <v>0</v>
      </c>
      <c r="E12" s="294">
        <f t="shared" si="2"/>
        <v>0</v>
      </c>
      <c r="F12" s="617">
        <v>0.8</v>
      </c>
      <c r="G12" s="294">
        <f t="shared" si="3"/>
        <v>0.22652226233453673</v>
      </c>
      <c r="H12" s="617">
        <v>1.46</v>
      </c>
      <c r="I12" s="294">
        <f t="shared" si="3"/>
        <v>0.36570276774969923</v>
      </c>
      <c r="J12" s="617">
        <v>4.41</v>
      </c>
      <c r="K12" s="294">
        <f t="shared" si="0"/>
        <v>0.6675763537906139</v>
      </c>
      <c r="L12" s="622">
        <v>5.18</v>
      </c>
      <c r="M12" s="294">
        <f t="shared" si="1"/>
        <v>0.9815819494584839</v>
      </c>
    </row>
    <row r="13" spans="1:13" ht="12.75">
      <c r="A13" s="252" t="s">
        <v>121</v>
      </c>
      <c r="B13" s="211">
        <v>178.24</v>
      </c>
      <c r="C13" s="298">
        <v>8.3</v>
      </c>
      <c r="D13" s="617">
        <v>0.35</v>
      </c>
      <c r="E13" s="294">
        <f t="shared" si="2"/>
        <v>0.061118435816876114</v>
      </c>
      <c r="F13" s="617">
        <v>1.65</v>
      </c>
      <c r="G13" s="294">
        <f t="shared" si="3"/>
        <v>0.19976997307001798</v>
      </c>
      <c r="H13" s="617">
        <v>4.44</v>
      </c>
      <c r="I13" s="294">
        <f t="shared" si="3"/>
        <v>0.475536355475763</v>
      </c>
      <c r="J13" s="617">
        <v>11.51</v>
      </c>
      <c r="K13" s="294">
        <f t="shared" si="0"/>
        <v>0.7450116135547576</v>
      </c>
      <c r="L13" s="622">
        <v>17.01</v>
      </c>
      <c r="M13" s="294">
        <f t="shared" si="1"/>
        <v>1.3782451750448836</v>
      </c>
    </row>
    <row r="14" spans="1:13" ht="12.75">
      <c r="A14" s="252" t="s">
        <v>119</v>
      </c>
      <c r="B14" s="211">
        <v>178.24</v>
      </c>
      <c r="C14" s="298">
        <v>6.4</v>
      </c>
      <c r="D14" s="617">
        <v>0.14</v>
      </c>
      <c r="E14" s="294">
        <f t="shared" si="2"/>
        <v>0.018850987432675048</v>
      </c>
      <c r="F14" s="617">
        <v>0.58</v>
      </c>
      <c r="G14" s="294">
        <f t="shared" si="3"/>
        <v>0.054147217235188505</v>
      </c>
      <c r="H14" s="617">
        <v>0.75</v>
      </c>
      <c r="I14" s="294">
        <f t="shared" si="3"/>
        <v>0.06193895870736086</v>
      </c>
      <c r="J14" s="617">
        <v>0.81</v>
      </c>
      <c r="K14" s="294">
        <f t="shared" si="0"/>
        <v>0.04042728904847397</v>
      </c>
      <c r="L14" s="622">
        <v>0.92</v>
      </c>
      <c r="M14" s="294">
        <f t="shared" si="1"/>
        <v>0.05747935368043088</v>
      </c>
    </row>
    <row r="15" spans="1:13" ht="12.75">
      <c r="A15" s="252" t="s">
        <v>374</v>
      </c>
      <c r="B15" s="211">
        <v>202.26</v>
      </c>
      <c r="C15" s="298">
        <v>2.1</v>
      </c>
      <c r="D15" s="617">
        <v>0.78</v>
      </c>
      <c r="E15" s="294">
        <f t="shared" si="2"/>
        <v>0.030369326609314747</v>
      </c>
      <c r="F15" s="617">
        <v>0.69</v>
      </c>
      <c r="G15" s="294">
        <f t="shared" si="3"/>
        <v>0.018626520320379713</v>
      </c>
      <c r="H15" s="617">
        <v>2.08</v>
      </c>
      <c r="I15" s="294">
        <f t="shared" si="3"/>
        <v>0.049670720854345894</v>
      </c>
      <c r="J15" s="617">
        <v>4.95</v>
      </c>
      <c r="K15" s="294">
        <f t="shared" si="0"/>
        <v>0.07143800059329578</v>
      </c>
      <c r="L15" s="622">
        <v>7.52</v>
      </c>
      <c r="M15" s="294">
        <f t="shared" si="1"/>
        <v>0.1358552358350638</v>
      </c>
    </row>
    <row r="16" spans="1:13" ht="12.75">
      <c r="A16" s="252" t="s">
        <v>122</v>
      </c>
      <c r="B16" s="211">
        <v>202.26</v>
      </c>
      <c r="C16" s="298">
        <v>2.7</v>
      </c>
      <c r="D16" s="617">
        <v>0.59</v>
      </c>
      <c r="E16" s="294">
        <f t="shared" si="2"/>
        <v>0.029535004449718186</v>
      </c>
      <c r="F16" s="617">
        <v>0.44</v>
      </c>
      <c r="G16" s="294">
        <f t="shared" si="3"/>
        <v>0.015271432809255418</v>
      </c>
      <c r="H16" s="617">
        <v>1.28</v>
      </c>
      <c r="I16" s="294">
        <f t="shared" si="3"/>
        <v>0.03929991100563632</v>
      </c>
      <c r="J16" s="617">
        <v>3.14</v>
      </c>
      <c r="K16" s="294">
        <f t="shared" si="0"/>
        <v>0.05826371996440226</v>
      </c>
      <c r="L16" s="622">
        <v>4.31</v>
      </c>
      <c r="M16" s="294">
        <f t="shared" si="1"/>
        <v>0.10011064965885495</v>
      </c>
    </row>
    <row r="17" spans="1:13" ht="12.75">
      <c r="A17" s="252" t="s">
        <v>638</v>
      </c>
      <c r="B17" s="211">
        <v>228.3</v>
      </c>
      <c r="C17" s="298">
        <v>0.34</v>
      </c>
      <c r="D17" s="617">
        <v>0.92</v>
      </c>
      <c r="E17" s="294">
        <f t="shared" si="2"/>
        <v>0.005137976346911958</v>
      </c>
      <c r="F17" s="617">
        <v>0.47</v>
      </c>
      <c r="G17" s="294">
        <f t="shared" si="3"/>
        <v>0.0018198861147612785</v>
      </c>
      <c r="H17" s="617">
        <v>0.77</v>
      </c>
      <c r="I17" s="294">
        <f t="shared" si="3"/>
        <v>0.002637494524748139</v>
      </c>
      <c r="J17" s="617">
        <v>2.06</v>
      </c>
      <c r="K17" s="294">
        <f t="shared" si="0"/>
        <v>0.00426437144108629</v>
      </c>
      <c r="L17" s="622">
        <v>0.48</v>
      </c>
      <c r="M17" s="294">
        <f t="shared" si="1"/>
        <v>0.001243837056504599</v>
      </c>
    </row>
    <row r="18" spans="1:13" ht="12.75">
      <c r="A18" s="252" t="s">
        <v>123</v>
      </c>
      <c r="B18" s="211">
        <v>228.3</v>
      </c>
      <c r="C18" s="298">
        <v>0.45</v>
      </c>
      <c r="D18" s="617">
        <v>0.98</v>
      </c>
      <c r="E18" s="294">
        <f t="shared" si="2"/>
        <v>0.007243758212877791</v>
      </c>
      <c r="F18" s="617">
        <v>0.37</v>
      </c>
      <c r="G18" s="294">
        <f t="shared" si="3"/>
        <v>0.0018961892247043367</v>
      </c>
      <c r="H18" s="617">
        <v>0.75</v>
      </c>
      <c r="I18" s="294">
        <f t="shared" si="3"/>
        <v>0.0034001314060446777</v>
      </c>
      <c r="J18" s="617">
        <v>2.12</v>
      </c>
      <c r="K18" s="294">
        <f t="shared" si="0"/>
        <v>0.005808409986859395</v>
      </c>
      <c r="L18" s="622">
        <v>0.31</v>
      </c>
      <c r="M18" s="294">
        <f t="shared" si="1"/>
        <v>0.0010632063074901444</v>
      </c>
    </row>
    <row r="19" spans="1:13" ht="12.75">
      <c r="A19" s="252" t="s">
        <v>438</v>
      </c>
      <c r="B19" s="211">
        <v>252.32</v>
      </c>
      <c r="C19" s="298">
        <v>0.04</v>
      </c>
      <c r="D19" s="617">
        <v>0.67</v>
      </c>
      <c r="E19" s="294">
        <f t="shared" si="2"/>
        <v>0.0003983037412809132</v>
      </c>
      <c r="F19" s="617">
        <v>0.35</v>
      </c>
      <c r="G19" s="294">
        <f t="shared" si="3"/>
        <v>0.00014426125554850984</v>
      </c>
      <c r="H19" s="617">
        <v>0.5</v>
      </c>
      <c r="I19" s="294">
        <f t="shared" si="3"/>
        <v>0.00018230818008877617</v>
      </c>
      <c r="J19" s="617">
        <v>1.68</v>
      </c>
      <c r="K19" s="294">
        <f t="shared" si="0"/>
        <v>0.0003701965757767914</v>
      </c>
      <c r="L19" s="622">
        <v>0.29</v>
      </c>
      <c r="M19" s="294">
        <f t="shared" si="1"/>
        <v>7.999365884590996E-05</v>
      </c>
    </row>
    <row r="20" spans="1:13" ht="12.75">
      <c r="A20" s="252" t="s">
        <v>434</v>
      </c>
      <c r="B20" s="211">
        <v>252.32</v>
      </c>
      <c r="C20" s="298">
        <v>0.02</v>
      </c>
      <c r="D20" s="617">
        <v>0.68</v>
      </c>
      <c r="E20" s="294">
        <f t="shared" si="2"/>
        <v>0.00020212428662016492</v>
      </c>
      <c r="F20" s="617">
        <v>0.36</v>
      </c>
      <c r="G20" s="294">
        <f t="shared" si="3"/>
        <v>7.419150285351934E-05</v>
      </c>
      <c r="H20" s="617">
        <v>0.5</v>
      </c>
      <c r="I20" s="294">
        <f t="shared" si="3"/>
        <v>9.115409004438809E-05</v>
      </c>
      <c r="J20" s="617">
        <v>1.68</v>
      </c>
      <c r="K20" s="294">
        <f t="shared" si="0"/>
        <v>0.0001850982878883957</v>
      </c>
      <c r="L20" s="622">
        <v>0.29</v>
      </c>
      <c r="M20" s="294">
        <f t="shared" si="1"/>
        <v>3.999682942295498E-05</v>
      </c>
    </row>
    <row r="21" spans="1:13" ht="12.75">
      <c r="A21" s="252" t="s">
        <v>124</v>
      </c>
      <c r="B21" s="211">
        <v>252.32</v>
      </c>
      <c r="C21" s="298">
        <v>0.15</v>
      </c>
      <c r="D21" s="617">
        <v>0.47</v>
      </c>
      <c r="E21" s="294">
        <f t="shared" si="2"/>
        <v>0.001047776632847178</v>
      </c>
      <c r="F21" s="617">
        <v>0.22</v>
      </c>
      <c r="G21" s="294">
        <f t="shared" si="3"/>
        <v>0.0003400443880786304</v>
      </c>
      <c r="H21" s="617">
        <v>0.37</v>
      </c>
      <c r="I21" s="294">
        <f t="shared" si="3"/>
        <v>0.0005059051997463539</v>
      </c>
      <c r="J21" s="617">
        <v>1.63</v>
      </c>
      <c r="K21" s="294">
        <f t="shared" si="0"/>
        <v>0.0013469205770450222</v>
      </c>
      <c r="L21" s="622">
        <v>0.18</v>
      </c>
      <c r="M21" s="294">
        <f t="shared" si="1"/>
        <v>0.00018619213696892834</v>
      </c>
    </row>
    <row r="22" spans="1:13" ht="12.75">
      <c r="A22" s="252" t="s">
        <v>436</v>
      </c>
      <c r="B22" s="211">
        <v>278.36</v>
      </c>
      <c r="C22" s="298">
        <v>1.67</v>
      </c>
      <c r="D22" s="617">
        <v>0.19</v>
      </c>
      <c r="E22" s="294">
        <f t="shared" si="2"/>
        <v>0.004274590458399195</v>
      </c>
      <c r="F22" s="617">
        <v>0.17</v>
      </c>
      <c r="G22" s="294">
        <f t="shared" si="3"/>
        <v>0.002651745940508694</v>
      </c>
      <c r="H22" s="617">
        <v>0.24</v>
      </c>
      <c r="I22" s="294">
        <f t="shared" si="3"/>
        <v>0.0033116827130334815</v>
      </c>
      <c r="J22" s="617">
        <v>1.29</v>
      </c>
      <c r="K22" s="294">
        <f t="shared" si="0"/>
        <v>0.01075756933467452</v>
      </c>
      <c r="L22" s="622">
        <v>0.29</v>
      </c>
      <c r="M22" s="294">
        <f t="shared" si="1"/>
        <v>0.003027309958327345</v>
      </c>
    </row>
    <row r="23" spans="1:13" ht="12.75">
      <c r="A23" s="252" t="s">
        <v>437</v>
      </c>
      <c r="B23" s="211">
        <v>278.36</v>
      </c>
      <c r="C23" s="298">
        <v>0.13</v>
      </c>
      <c r="D23" s="617">
        <v>0.46</v>
      </c>
      <c r="E23" s="294">
        <f t="shared" si="2"/>
        <v>0.0008056114384250609</v>
      </c>
      <c r="F23" s="617">
        <v>0.14</v>
      </c>
      <c r="G23" s="294">
        <f t="shared" si="3"/>
        <v>0.000169995689035781</v>
      </c>
      <c r="H23" s="617">
        <v>0.19</v>
      </c>
      <c r="I23" s="294">
        <f t="shared" si="3"/>
        <v>0.00020408823106768213</v>
      </c>
      <c r="J23" s="617">
        <v>2.4</v>
      </c>
      <c r="K23" s="294">
        <f t="shared" si="0"/>
        <v>0.0015579824687455093</v>
      </c>
      <c r="L23" s="622">
        <v>0.26</v>
      </c>
      <c r="M23" s="294">
        <f t="shared" si="1"/>
        <v>0.00021128035637304208</v>
      </c>
    </row>
    <row r="24" spans="1:13" ht="12.75">
      <c r="A24" s="253" t="s">
        <v>435</v>
      </c>
      <c r="B24" s="219">
        <v>276.34</v>
      </c>
      <c r="C24" s="299">
        <v>0.03</v>
      </c>
      <c r="D24" s="618">
        <v>0.34</v>
      </c>
      <c r="E24" s="295">
        <f t="shared" si="2"/>
        <v>0.00013841644351161614</v>
      </c>
      <c r="F24" s="618">
        <v>0.2</v>
      </c>
      <c r="G24" s="295">
        <f t="shared" si="3"/>
        <v>5.645219656944344E-05</v>
      </c>
      <c r="H24" s="618">
        <v>0.22</v>
      </c>
      <c r="I24" s="295">
        <f t="shared" si="3"/>
        <v>5.4932329738727664E-05</v>
      </c>
      <c r="J24" s="618">
        <v>1</v>
      </c>
      <c r="K24" s="295">
        <f t="shared" si="0"/>
        <v>0.0001509010639067815</v>
      </c>
      <c r="L24" s="623">
        <v>0.19</v>
      </c>
      <c r="M24" s="295">
        <f t="shared" si="1"/>
        <v>3.589056958818847E-05</v>
      </c>
    </row>
    <row r="25" spans="1:13" ht="13.5" thickBot="1">
      <c r="A25" s="254" t="s">
        <v>955</v>
      </c>
      <c r="B25" s="225"/>
      <c r="C25" s="266"/>
      <c r="D25" s="619">
        <f aca="true" t="shared" si="4" ref="D25:M25">SUM(D9:D24)</f>
        <v>6.569999999999999</v>
      </c>
      <c r="E25" s="296">
        <f t="shared" si="4"/>
        <v>0.159122311869458</v>
      </c>
      <c r="F25" s="619">
        <f t="shared" si="4"/>
        <v>11.249999999999998</v>
      </c>
      <c r="G25" s="296">
        <f t="shared" si="4"/>
        <v>11.652283339786953</v>
      </c>
      <c r="H25" s="619">
        <f t="shared" si="4"/>
        <v>27.810000000000002</v>
      </c>
      <c r="I25" s="296">
        <f t="shared" si="4"/>
        <v>28.83673340980906</v>
      </c>
      <c r="J25" s="619">
        <f t="shared" si="4"/>
        <v>54.24</v>
      </c>
      <c r="K25" s="296">
        <f t="shared" si="4"/>
        <v>14.890479613267878</v>
      </c>
      <c r="L25" s="619">
        <f t="shared" si="4"/>
        <v>39.58</v>
      </c>
      <c r="M25" s="296">
        <f t="shared" si="4"/>
        <v>3.665466965920161</v>
      </c>
    </row>
    <row r="26" spans="1:13" ht="12.75">
      <c r="A26" s="252" t="s">
        <v>942</v>
      </c>
      <c r="B26" s="211"/>
      <c r="C26" s="249"/>
      <c r="D26" s="617">
        <v>65.06</v>
      </c>
      <c r="E26" s="275"/>
      <c r="F26" s="617">
        <v>61.37</v>
      </c>
      <c r="G26" s="275"/>
      <c r="H26" s="617">
        <v>59.46</v>
      </c>
      <c r="I26" s="275"/>
      <c r="J26" s="617">
        <v>6.97</v>
      </c>
      <c r="K26" s="292"/>
      <c r="L26" s="622">
        <v>11.95</v>
      </c>
      <c r="M26" s="292"/>
    </row>
    <row r="27" spans="1:13" ht="12.75">
      <c r="A27" s="252" t="s">
        <v>943</v>
      </c>
      <c r="B27" s="211"/>
      <c r="C27" s="249"/>
      <c r="D27" s="617">
        <v>28.38</v>
      </c>
      <c r="E27" s="275"/>
      <c r="F27" s="617">
        <v>27.4</v>
      </c>
      <c r="G27" s="275"/>
      <c r="H27" s="617">
        <v>16.62</v>
      </c>
      <c r="I27" s="275"/>
      <c r="J27" s="617">
        <v>38.79</v>
      </c>
      <c r="K27" s="292"/>
      <c r="L27" s="622">
        <v>48.48</v>
      </c>
      <c r="M27" s="292"/>
    </row>
    <row r="28" spans="1:13" ht="12.75">
      <c r="A28" s="288" t="s">
        <v>944</v>
      </c>
      <c r="B28" s="207"/>
      <c r="C28" s="249"/>
      <c r="D28" s="616">
        <f>SUM(D25:D27)</f>
        <v>100.00999999999999</v>
      </c>
      <c r="E28" s="291"/>
      <c r="F28" s="616">
        <f>SUM(F25:F27)</f>
        <v>100.01999999999998</v>
      </c>
      <c r="G28" s="291"/>
      <c r="H28" s="616">
        <f>SUM(H25:H27)</f>
        <v>103.89000000000001</v>
      </c>
      <c r="I28" s="291"/>
      <c r="J28" s="616">
        <f>SUM(J25:J27)</f>
        <v>100</v>
      </c>
      <c r="K28" s="293"/>
      <c r="L28" s="616">
        <f>SUM(L25:L27)</f>
        <v>100.00999999999999</v>
      </c>
      <c r="M28" s="293"/>
    </row>
    <row r="29" spans="1:13" ht="13.5" thickBot="1">
      <c r="A29" s="289" t="s">
        <v>953</v>
      </c>
      <c r="B29" s="227"/>
      <c r="C29" s="290"/>
      <c r="D29" s="620">
        <v>375</v>
      </c>
      <c r="E29" s="289"/>
      <c r="F29" s="620">
        <v>260</v>
      </c>
      <c r="G29" s="289"/>
      <c r="H29" s="620">
        <v>230</v>
      </c>
      <c r="I29" s="289"/>
      <c r="J29" s="620">
        <v>139</v>
      </c>
      <c r="K29" s="289"/>
      <c r="L29" s="620">
        <v>174</v>
      </c>
      <c r="M29" s="289"/>
    </row>
    <row r="30" spans="1:13" ht="12.75">
      <c r="A30" s="204"/>
      <c r="B30" s="204"/>
      <c r="C30" s="224"/>
      <c r="D30" s="218"/>
      <c r="E30" s="204"/>
      <c r="F30" s="218"/>
      <c r="G30" s="204"/>
      <c r="H30" s="218"/>
      <c r="I30" s="204"/>
      <c r="J30" s="218"/>
      <c r="K30" s="204"/>
      <c r="L30" s="218"/>
      <c r="M30" s="204"/>
    </row>
  </sheetData>
  <sheetProtection password="9C67" sheet="1" objects="1" scenarios="1" selectLockedCells="1"/>
  <mergeCells count="6">
    <mergeCell ref="D5:M5"/>
    <mergeCell ref="D6:E6"/>
    <mergeCell ref="F6:G6"/>
    <mergeCell ref="H6:I6"/>
    <mergeCell ref="J6:K6"/>
    <mergeCell ref="L6:M6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"/>
  <dimension ref="A1:D33"/>
  <sheetViews>
    <sheetView workbookViewId="0" topLeftCell="A1">
      <selection activeCell="E3" sqref="E3"/>
    </sheetView>
  </sheetViews>
  <sheetFormatPr defaultColWidth="11.421875" defaultRowHeight="12.75"/>
  <cols>
    <col min="1" max="1" width="29.8515625" style="0" customWidth="1"/>
    <col min="2" max="2" width="9.28125" style="0" customWidth="1"/>
    <col min="3" max="3" width="9.00390625" style="0" customWidth="1"/>
    <col min="4" max="4" width="9.140625" style="0" customWidth="1"/>
  </cols>
  <sheetData>
    <row r="1" spans="1:2" ht="15.75">
      <c r="A1" s="3" t="s">
        <v>210</v>
      </c>
      <c r="B1" s="1"/>
    </row>
    <row r="2" ht="15.75">
      <c r="A2" s="3" t="s">
        <v>211</v>
      </c>
    </row>
    <row r="3" ht="13.5" thickBot="1"/>
    <row r="4" spans="1:4" ht="15.75" thickBot="1">
      <c r="A4" s="5" t="s">
        <v>136</v>
      </c>
      <c r="B4" s="5" t="s">
        <v>67</v>
      </c>
      <c r="C4" s="5" t="s">
        <v>1</v>
      </c>
      <c r="D4" s="6" t="s">
        <v>30</v>
      </c>
    </row>
    <row r="5" spans="1:4" ht="15.75">
      <c r="A5" s="10" t="s">
        <v>137</v>
      </c>
      <c r="B5" s="14" t="s">
        <v>131</v>
      </c>
      <c r="C5" s="15" t="s">
        <v>182</v>
      </c>
      <c r="D5" s="11">
        <v>10</v>
      </c>
    </row>
    <row r="6" spans="1:4" ht="15.75">
      <c r="A6" s="10" t="s">
        <v>138</v>
      </c>
      <c r="B6" s="14" t="s">
        <v>96</v>
      </c>
      <c r="C6" s="15" t="s">
        <v>182</v>
      </c>
      <c r="D6" s="11">
        <v>10</v>
      </c>
    </row>
    <row r="7" spans="1:4" ht="15.75">
      <c r="A7" s="10" t="s">
        <v>139</v>
      </c>
      <c r="B7" s="14" t="s">
        <v>29</v>
      </c>
      <c r="C7" s="15" t="s">
        <v>182</v>
      </c>
      <c r="D7" s="11">
        <v>25</v>
      </c>
    </row>
    <row r="8" spans="1:4" ht="15.75">
      <c r="A8" s="10" t="s">
        <v>140</v>
      </c>
      <c r="B8" s="14" t="s">
        <v>99</v>
      </c>
      <c r="C8" s="15" t="s">
        <v>182</v>
      </c>
      <c r="D8" s="11">
        <v>5</v>
      </c>
    </row>
    <row r="9" spans="1:4" ht="19.5">
      <c r="A9" s="10" t="s">
        <v>141</v>
      </c>
      <c r="B9" s="14" t="s">
        <v>229</v>
      </c>
      <c r="C9" s="15" t="s">
        <v>182</v>
      </c>
      <c r="D9" s="11">
        <v>50</v>
      </c>
    </row>
    <row r="10" spans="1:4" ht="15.75">
      <c r="A10" s="10" t="s">
        <v>142</v>
      </c>
      <c r="B10" s="14" t="s">
        <v>153</v>
      </c>
      <c r="C10" s="15" t="s">
        <v>182</v>
      </c>
      <c r="D10" s="11">
        <v>8</v>
      </c>
    </row>
    <row r="11" spans="1:4" ht="15.75">
      <c r="A11" s="10" t="s">
        <v>143</v>
      </c>
      <c r="B11" s="14" t="s">
        <v>154</v>
      </c>
      <c r="C11" s="15" t="s">
        <v>182</v>
      </c>
      <c r="D11" s="11">
        <v>50</v>
      </c>
    </row>
    <row r="12" spans="1:4" ht="15.75">
      <c r="A12" s="10" t="s">
        <v>144</v>
      </c>
      <c r="B12" s="14" t="s">
        <v>101</v>
      </c>
      <c r="C12" s="15" t="s">
        <v>182</v>
      </c>
      <c r="D12" s="11">
        <v>50</v>
      </c>
    </row>
    <row r="13" spans="1:4" ht="15.75">
      <c r="A13" s="10" t="s">
        <v>145</v>
      </c>
      <c r="B13" s="14" t="s">
        <v>130</v>
      </c>
      <c r="C13" s="15" t="s">
        <v>182</v>
      </c>
      <c r="D13" s="11">
        <v>50</v>
      </c>
    </row>
    <row r="14" spans="1:4" ht="15.75">
      <c r="A14" s="10" t="s">
        <v>146</v>
      </c>
      <c r="B14" s="14" t="s">
        <v>102</v>
      </c>
      <c r="C14" s="15" t="s">
        <v>182</v>
      </c>
      <c r="D14" s="11">
        <v>50</v>
      </c>
    </row>
    <row r="15" spans="1:4" ht="15.75">
      <c r="A15" s="10" t="s">
        <v>147</v>
      </c>
      <c r="B15" s="14" t="s">
        <v>103</v>
      </c>
      <c r="C15" s="15" t="s">
        <v>182</v>
      </c>
      <c r="D15" s="11">
        <v>1</v>
      </c>
    </row>
    <row r="16" spans="1:4" ht="15.75">
      <c r="A16" s="10" t="s">
        <v>148</v>
      </c>
      <c r="B16" s="14" t="s">
        <v>155</v>
      </c>
      <c r="C16" s="15" t="s">
        <v>182</v>
      </c>
      <c r="D16" s="11">
        <v>10</v>
      </c>
    </row>
    <row r="17" spans="1:4" ht="15.75">
      <c r="A17" s="10" t="s">
        <v>149</v>
      </c>
      <c r="B17" s="14" t="s">
        <v>104</v>
      </c>
      <c r="C17" s="15" t="s">
        <v>182</v>
      </c>
      <c r="D17" s="11">
        <v>500</v>
      </c>
    </row>
    <row r="18" spans="1:4" ht="15.75">
      <c r="A18" s="10" t="s">
        <v>150</v>
      </c>
      <c r="B18" s="14" t="s">
        <v>105</v>
      </c>
      <c r="C18" s="15" t="s">
        <v>182</v>
      </c>
      <c r="D18" s="11">
        <v>40</v>
      </c>
    </row>
    <row r="19" spans="1:4" ht="19.5">
      <c r="A19" s="10" t="s">
        <v>151</v>
      </c>
      <c r="B19" s="14" t="s">
        <v>228</v>
      </c>
      <c r="C19" s="15" t="s">
        <v>182</v>
      </c>
      <c r="D19" s="11">
        <v>50</v>
      </c>
    </row>
    <row r="20" spans="1:4" ht="19.5">
      <c r="A20" s="10" t="s">
        <v>258</v>
      </c>
      <c r="B20" s="14" t="s">
        <v>227</v>
      </c>
      <c r="C20" s="15" t="s">
        <v>182</v>
      </c>
      <c r="D20" s="11">
        <v>10</v>
      </c>
    </row>
    <row r="21" spans="1:4" ht="16.5" thickBot="1">
      <c r="A21" s="12" t="s">
        <v>152</v>
      </c>
      <c r="B21" s="16" t="s">
        <v>156</v>
      </c>
      <c r="C21" s="17" t="s">
        <v>182</v>
      </c>
      <c r="D21" s="13">
        <v>750</v>
      </c>
    </row>
    <row r="22" ht="13.5" thickBot="1"/>
    <row r="23" spans="1:4" ht="15.75" thickBot="1">
      <c r="A23" s="5" t="s">
        <v>183</v>
      </c>
      <c r="B23" s="5" t="s">
        <v>67</v>
      </c>
      <c r="C23" s="5" t="s">
        <v>1</v>
      </c>
      <c r="D23" s="6" t="s">
        <v>30</v>
      </c>
    </row>
    <row r="24" spans="1:4" ht="15.75">
      <c r="A24" s="10" t="s">
        <v>257</v>
      </c>
      <c r="B24" s="14" t="s">
        <v>184</v>
      </c>
      <c r="C24" s="15" t="s">
        <v>182</v>
      </c>
      <c r="D24" s="11">
        <v>200</v>
      </c>
    </row>
    <row r="25" spans="1:4" ht="15.75">
      <c r="A25" s="10" t="s">
        <v>185</v>
      </c>
      <c r="B25" s="14" t="s">
        <v>185</v>
      </c>
      <c r="C25" s="15" t="s">
        <v>182</v>
      </c>
      <c r="D25" s="11">
        <v>20</v>
      </c>
    </row>
    <row r="26" spans="1:4" ht="15.75">
      <c r="A26" s="10" t="s">
        <v>112</v>
      </c>
      <c r="B26" s="14"/>
      <c r="C26" s="15" t="s">
        <v>182</v>
      </c>
      <c r="D26" s="11">
        <v>1</v>
      </c>
    </row>
    <row r="27" spans="1:4" ht="15.75">
      <c r="A27" s="10" t="s">
        <v>116</v>
      </c>
      <c r="B27" s="14" t="s">
        <v>116</v>
      </c>
      <c r="C27" s="15" t="s">
        <v>182</v>
      </c>
      <c r="D27" s="11">
        <v>10</v>
      </c>
    </row>
    <row r="28" spans="1:4" ht="15.75">
      <c r="A28" s="10" t="s">
        <v>186</v>
      </c>
      <c r="B28" s="14"/>
      <c r="C28" s="15" t="s">
        <v>182</v>
      </c>
      <c r="D28" s="11">
        <v>0.1</v>
      </c>
    </row>
    <row r="29" spans="1:4" ht="15.75">
      <c r="A29" s="10" t="s">
        <v>187</v>
      </c>
      <c r="B29" s="14" t="s">
        <v>187</v>
      </c>
      <c r="C29" s="15" t="s">
        <v>182</v>
      </c>
      <c r="D29" s="11">
        <v>0.1</v>
      </c>
    </row>
    <row r="30" spans="1:4" ht="15.75">
      <c r="A30" s="10" t="s">
        <v>188</v>
      </c>
      <c r="B30" s="14"/>
      <c r="C30" s="15" t="s">
        <v>182</v>
      </c>
      <c r="D30" s="11">
        <v>20</v>
      </c>
    </row>
    <row r="31" spans="1:4" ht="19.5">
      <c r="A31" s="10" t="s">
        <v>259</v>
      </c>
      <c r="B31" s="14" t="s">
        <v>260</v>
      </c>
      <c r="C31" s="15" t="s">
        <v>182</v>
      </c>
      <c r="D31" s="11">
        <v>0.05</v>
      </c>
    </row>
    <row r="32" spans="1:4" ht="19.5">
      <c r="A32" s="10" t="s">
        <v>261</v>
      </c>
      <c r="B32" s="14" t="s">
        <v>262</v>
      </c>
      <c r="C32" s="15" t="s">
        <v>182</v>
      </c>
      <c r="D32" s="11">
        <v>0.2</v>
      </c>
    </row>
    <row r="33" spans="1:4" ht="16.5" thickBot="1">
      <c r="A33" s="12" t="s">
        <v>263</v>
      </c>
      <c r="B33" s="16"/>
      <c r="C33" s="17" t="s">
        <v>182</v>
      </c>
      <c r="D33" s="13">
        <v>2</v>
      </c>
    </row>
  </sheetData>
  <sheetProtection password="9C67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D103"/>
  <sheetViews>
    <sheetView workbookViewId="0" topLeftCell="A1">
      <selection activeCell="C81" sqref="C81"/>
    </sheetView>
  </sheetViews>
  <sheetFormatPr defaultColWidth="11.421875" defaultRowHeight="12.75"/>
  <cols>
    <col min="1" max="1" width="34.28125" style="0" customWidth="1"/>
    <col min="2" max="2" width="12.421875" style="0" customWidth="1"/>
    <col min="3" max="3" width="9.00390625" style="0" customWidth="1"/>
    <col min="4" max="4" width="9.140625" style="0" customWidth="1"/>
  </cols>
  <sheetData>
    <row r="1" spans="1:2" ht="15.75">
      <c r="A1" s="3" t="s">
        <v>411</v>
      </c>
      <c r="B1" s="1"/>
    </row>
    <row r="2" ht="15.75">
      <c r="A2" s="3"/>
    </row>
    <row r="3" ht="13.5" thickBot="1">
      <c r="A3" s="1" t="s">
        <v>429</v>
      </c>
    </row>
    <row r="4" spans="1:4" ht="15.75" thickBot="1">
      <c r="A4" s="5" t="s">
        <v>431</v>
      </c>
      <c r="B4" s="5" t="s">
        <v>67</v>
      </c>
      <c r="C4" s="5" t="s">
        <v>1</v>
      </c>
      <c r="D4" s="6" t="s">
        <v>30</v>
      </c>
    </row>
    <row r="5" spans="1:4" ht="15.75">
      <c r="A5" s="10" t="s">
        <v>137</v>
      </c>
      <c r="B5" s="14" t="s">
        <v>131</v>
      </c>
      <c r="C5" s="15" t="s">
        <v>182</v>
      </c>
      <c r="D5" s="11">
        <v>5</v>
      </c>
    </row>
    <row r="6" spans="1:4" ht="15.75">
      <c r="A6" s="10" t="s">
        <v>138</v>
      </c>
      <c r="B6" s="14" t="s">
        <v>96</v>
      </c>
      <c r="C6" s="15" t="s">
        <v>182</v>
      </c>
      <c r="D6" s="11">
        <v>10</v>
      </c>
    </row>
    <row r="7" spans="1:4" ht="15.75">
      <c r="A7" s="10" t="s">
        <v>412</v>
      </c>
      <c r="B7" s="14" t="s">
        <v>413</v>
      </c>
      <c r="C7" s="15" t="s">
        <v>182</v>
      </c>
      <c r="D7" s="11">
        <v>340</v>
      </c>
    </row>
    <row r="8" spans="1:4" ht="15.75">
      <c r="A8" s="10" t="s">
        <v>139</v>
      </c>
      <c r="B8" s="14" t="s">
        <v>29</v>
      </c>
      <c r="C8" s="15" t="s">
        <v>182</v>
      </c>
      <c r="D8" s="11">
        <v>7</v>
      </c>
    </row>
    <row r="9" spans="1:4" ht="15.75">
      <c r="A9" s="10" t="s">
        <v>414</v>
      </c>
      <c r="B9" s="14" t="s">
        <v>415</v>
      </c>
      <c r="C9" s="15" t="s">
        <v>182</v>
      </c>
      <c r="D9" s="11">
        <v>740</v>
      </c>
    </row>
    <row r="10" spans="1:4" ht="15.75">
      <c r="A10" s="10" t="s">
        <v>140</v>
      </c>
      <c r="B10" s="14" t="s">
        <v>99</v>
      </c>
      <c r="C10" s="15" t="s">
        <v>182</v>
      </c>
      <c r="D10" s="11">
        <v>0.5</v>
      </c>
    </row>
    <row r="11" spans="1:4" ht="15.75">
      <c r="A11" s="10" t="s">
        <v>416</v>
      </c>
      <c r="B11" s="14" t="s">
        <v>417</v>
      </c>
      <c r="C11" s="15" t="s">
        <v>182</v>
      </c>
      <c r="D11" s="11">
        <v>7</v>
      </c>
    </row>
    <row r="12" spans="1:4" ht="15.75">
      <c r="A12" s="10" t="s">
        <v>143</v>
      </c>
      <c r="B12" s="14" t="s">
        <v>154</v>
      </c>
      <c r="C12" s="15" t="s">
        <v>182</v>
      </c>
      <c r="D12" s="11">
        <v>8</v>
      </c>
    </row>
    <row r="13" spans="1:4" ht="15.75">
      <c r="A13" s="10" t="s">
        <v>144</v>
      </c>
      <c r="B13" s="14" t="s">
        <v>101</v>
      </c>
      <c r="C13" s="15" t="s">
        <v>182</v>
      </c>
      <c r="D13" s="11">
        <v>14</v>
      </c>
    </row>
    <row r="14" spans="1:4" ht="15.75">
      <c r="A14" s="10" t="s">
        <v>145</v>
      </c>
      <c r="B14" s="14" t="s">
        <v>130</v>
      </c>
      <c r="C14" s="15" t="s">
        <v>182</v>
      </c>
      <c r="D14" s="11">
        <v>35</v>
      </c>
    </row>
    <row r="15" spans="1:4" ht="15.75">
      <c r="A15" s="10" t="s">
        <v>146</v>
      </c>
      <c r="B15" s="14" t="s">
        <v>102</v>
      </c>
      <c r="C15" s="15" t="s">
        <v>182</v>
      </c>
      <c r="D15" s="11">
        <v>14</v>
      </c>
    </row>
    <row r="16" spans="1:4" ht="15.75">
      <c r="A16" s="10" t="s">
        <v>147</v>
      </c>
      <c r="B16" s="14" t="s">
        <v>103</v>
      </c>
      <c r="C16" s="15" t="s">
        <v>182</v>
      </c>
      <c r="D16" s="11">
        <v>0.2</v>
      </c>
    </row>
    <row r="17" spans="1:4" ht="15.75">
      <c r="A17" s="10" t="s">
        <v>148</v>
      </c>
      <c r="B17" s="14" t="s">
        <v>155</v>
      </c>
      <c r="C17" s="15" t="s">
        <v>182</v>
      </c>
      <c r="D17" s="11">
        <v>7</v>
      </c>
    </row>
    <row r="18" spans="1:4" ht="15.75">
      <c r="A18" s="10" t="s">
        <v>418</v>
      </c>
      <c r="B18" s="14" t="s">
        <v>132</v>
      </c>
      <c r="C18" s="15" t="s">
        <v>182</v>
      </c>
      <c r="D18" s="11">
        <v>0.8</v>
      </c>
    </row>
    <row r="19" spans="1:4" ht="15.75">
      <c r="A19" s="10" t="s">
        <v>419</v>
      </c>
      <c r="B19" s="14" t="s">
        <v>420</v>
      </c>
      <c r="C19" s="15" t="s">
        <v>182</v>
      </c>
      <c r="D19" s="11">
        <v>4</v>
      </c>
    </row>
    <row r="20" spans="1:4" ht="15.75">
      <c r="A20" s="10" t="s">
        <v>149</v>
      </c>
      <c r="B20" s="14" t="s">
        <v>104</v>
      </c>
      <c r="C20" s="15" t="s">
        <v>182</v>
      </c>
      <c r="D20" s="11">
        <v>58</v>
      </c>
    </row>
    <row r="21" spans="1:4" ht="15.75">
      <c r="A21" s="10"/>
      <c r="B21" s="14"/>
      <c r="C21" s="15"/>
      <c r="D21" s="11"/>
    </row>
    <row r="22" spans="1:4" ht="18">
      <c r="A22" s="10" t="s">
        <v>421</v>
      </c>
      <c r="B22" s="14" t="s">
        <v>422</v>
      </c>
      <c r="C22" s="158" t="s">
        <v>423</v>
      </c>
      <c r="D22" s="11">
        <v>250</v>
      </c>
    </row>
    <row r="23" spans="1:4" ht="18.75">
      <c r="A23" s="10" t="s">
        <v>424</v>
      </c>
      <c r="B23" s="14" t="s">
        <v>425</v>
      </c>
      <c r="C23" s="15" t="s">
        <v>182</v>
      </c>
      <c r="D23" s="11">
        <v>5</v>
      </c>
    </row>
    <row r="24" spans="1:4" ht="18.75">
      <c r="A24" s="10" t="s">
        <v>152</v>
      </c>
      <c r="B24" s="14" t="s">
        <v>426</v>
      </c>
      <c r="C24" s="15" t="s">
        <v>182</v>
      </c>
      <c r="D24" s="11">
        <v>750</v>
      </c>
    </row>
    <row r="25" spans="1:4" ht="18.75" thickBot="1">
      <c r="A25" s="12" t="s">
        <v>427</v>
      </c>
      <c r="B25" s="16" t="s">
        <v>428</v>
      </c>
      <c r="C25" s="159" t="s">
        <v>423</v>
      </c>
      <c r="D25" s="13">
        <v>240</v>
      </c>
    </row>
    <row r="26" spans="1:4" ht="15">
      <c r="A26" s="160"/>
      <c r="B26" s="161"/>
      <c r="C26" s="162"/>
      <c r="D26" s="160"/>
    </row>
    <row r="27" ht="13.5" thickBot="1">
      <c r="A27" s="163" t="s">
        <v>430</v>
      </c>
    </row>
    <row r="28" spans="1:4" ht="15.75" thickBot="1">
      <c r="A28" s="5" t="s">
        <v>432</v>
      </c>
      <c r="B28" s="5" t="s">
        <v>67</v>
      </c>
      <c r="C28" s="5" t="s">
        <v>1</v>
      </c>
      <c r="D28" s="6" t="s">
        <v>30</v>
      </c>
    </row>
    <row r="29" spans="1:4" ht="15.75">
      <c r="A29" s="164" t="s">
        <v>433</v>
      </c>
      <c r="B29" s="164" t="s">
        <v>433</v>
      </c>
      <c r="C29" s="15" t="s">
        <v>182</v>
      </c>
      <c r="D29" s="11">
        <v>0.2</v>
      </c>
    </row>
    <row r="30" spans="1:4" ht="15.75">
      <c r="A30" s="165" t="s">
        <v>119</v>
      </c>
      <c r="B30" s="164"/>
      <c r="C30" s="15" t="s">
        <v>182</v>
      </c>
      <c r="D30" s="11">
        <v>0.01</v>
      </c>
    </row>
    <row r="31" spans="1:4" ht="15.75">
      <c r="A31" s="165" t="s">
        <v>124</v>
      </c>
      <c r="B31" s="164"/>
      <c r="C31" s="15" t="s">
        <v>182</v>
      </c>
      <c r="D31" s="11">
        <v>0.01</v>
      </c>
    </row>
    <row r="32" spans="1:4" ht="15.75">
      <c r="A32" s="165" t="s">
        <v>437</v>
      </c>
      <c r="B32" s="164"/>
      <c r="C32" s="15" t="s">
        <v>182</v>
      </c>
      <c r="D32" s="11">
        <v>0.01</v>
      </c>
    </row>
    <row r="33" spans="1:4" ht="15.75">
      <c r="A33" s="165" t="s">
        <v>438</v>
      </c>
      <c r="B33" s="164"/>
      <c r="C33" s="15" t="s">
        <v>182</v>
      </c>
      <c r="D33" s="11">
        <v>0.025</v>
      </c>
    </row>
    <row r="34" spans="1:4" ht="15.75">
      <c r="A34" s="165" t="s">
        <v>434</v>
      </c>
      <c r="B34" s="164"/>
      <c r="C34" s="15" t="s">
        <v>182</v>
      </c>
      <c r="D34" s="11">
        <v>0.025</v>
      </c>
    </row>
    <row r="35" spans="1:4" ht="15.75">
      <c r="A35" s="165" t="s">
        <v>435</v>
      </c>
      <c r="B35" s="164"/>
      <c r="C35" s="15" t="s">
        <v>182</v>
      </c>
      <c r="D35" s="11">
        <v>0.025</v>
      </c>
    </row>
    <row r="36" spans="1:4" ht="15.75">
      <c r="A36" s="165" t="s">
        <v>374</v>
      </c>
      <c r="B36" s="164"/>
      <c r="C36" s="15" t="s">
        <v>182</v>
      </c>
      <c r="D36" s="11">
        <v>0.025</v>
      </c>
    </row>
    <row r="37" spans="1:4" ht="15.75">
      <c r="A37" s="165" t="s">
        <v>436</v>
      </c>
      <c r="B37" s="164"/>
      <c r="C37" s="15" t="s">
        <v>182</v>
      </c>
      <c r="D37" s="11">
        <v>0.025</v>
      </c>
    </row>
    <row r="38" spans="1:4" ht="15.75">
      <c r="A38" s="164" t="s">
        <v>439</v>
      </c>
      <c r="B38" s="164"/>
      <c r="C38" s="15" t="s">
        <v>182</v>
      </c>
      <c r="D38" s="11">
        <v>1</v>
      </c>
    </row>
    <row r="39" spans="1:4" ht="15.75">
      <c r="A39" s="164" t="s">
        <v>440</v>
      </c>
      <c r="B39" s="164" t="s">
        <v>440</v>
      </c>
      <c r="C39" s="15" t="s">
        <v>182</v>
      </c>
      <c r="D39" s="11">
        <v>20</v>
      </c>
    </row>
    <row r="40" spans="1:4" ht="15.75">
      <c r="A40" s="164" t="s">
        <v>441</v>
      </c>
      <c r="B40" s="14" t="s">
        <v>445</v>
      </c>
      <c r="C40" s="15" t="s">
        <v>182</v>
      </c>
      <c r="D40" s="11">
        <v>10</v>
      </c>
    </row>
    <row r="41" spans="1:4" ht="15.75">
      <c r="A41" s="165" t="s">
        <v>442</v>
      </c>
      <c r="B41" s="164"/>
      <c r="C41" s="15" t="s">
        <v>182</v>
      </c>
      <c r="D41" s="11">
        <v>2</v>
      </c>
    </row>
    <row r="42" spans="1:4" ht="15.75">
      <c r="A42" s="165" t="s">
        <v>443</v>
      </c>
      <c r="B42" s="14" t="s">
        <v>444</v>
      </c>
      <c r="C42" s="15" t="s">
        <v>182</v>
      </c>
      <c r="D42" s="11">
        <v>0.5</v>
      </c>
    </row>
    <row r="43" spans="1:4" ht="15.75">
      <c r="A43" s="164" t="s">
        <v>446</v>
      </c>
      <c r="B43" s="164" t="s">
        <v>446</v>
      </c>
      <c r="C43" s="15" t="s">
        <v>182</v>
      </c>
      <c r="D43" s="11">
        <v>0.01</v>
      </c>
    </row>
    <row r="44" spans="1:4" ht="15.75">
      <c r="A44" s="10" t="s">
        <v>448</v>
      </c>
      <c r="B44" s="14" t="s">
        <v>447</v>
      </c>
      <c r="C44" s="15" t="s">
        <v>182</v>
      </c>
      <c r="D44" s="11">
        <v>100</v>
      </c>
    </row>
    <row r="45" spans="1:4" ht="15.75">
      <c r="A45" s="164" t="s">
        <v>449</v>
      </c>
      <c r="B45" s="164"/>
      <c r="C45" s="15" t="s">
        <v>182</v>
      </c>
      <c r="D45" s="11">
        <v>20</v>
      </c>
    </row>
    <row r="46" spans="1:4" ht="15.75">
      <c r="A46" s="10" t="s">
        <v>112</v>
      </c>
      <c r="B46" s="14"/>
      <c r="C46" s="15" t="s">
        <v>182</v>
      </c>
      <c r="D46" s="11">
        <v>1</v>
      </c>
    </row>
    <row r="47" spans="1:4" ht="15.75">
      <c r="A47" s="10" t="s">
        <v>115</v>
      </c>
      <c r="B47" s="14" t="s">
        <v>115</v>
      </c>
      <c r="C47" s="15" t="s">
        <v>182</v>
      </c>
      <c r="D47" s="11">
        <v>15</v>
      </c>
    </row>
    <row r="48" spans="1:4" ht="15.75">
      <c r="A48" s="10" t="s">
        <v>128</v>
      </c>
      <c r="B48" s="14"/>
      <c r="C48" s="15" t="s">
        <v>182</v>
      </c>
      <c r="D48" s="11">
        <v>8</v>
      </c>
    </row>
    <row r="49" spans="1:4" ht="15.75">
      <c r="A49" s="10" t="s">
        <v>450</v>
      </c>
      <c r="B49" s="14"/>
      <c r="C49" s="15" t="s">
        <v>182</v>
      </c>
      <c r="D49" s="11">
        <v>0.3</v>
      </c>
    </row>
    <row r="50" spans="1:4" ht="15.75">
      <c r="A50" s="164" t="s">
        <v>451</v>
      </c>
      <c r="B50" s="14"/>
      <c r="C50" s="15" t="s">
        <v>182</v>
      </c>
      <c r="D50" s="11">
        <v>1</v>
      </c>
    </row>
    <row r="51" spans="1:4" ht="15.75">
      <c r="A51" s="10" t="s">
        <v>452</v>
      </c>
      <c r="B51" s="14" t="s">
        <v>453</v>
      </c>
      <c r="C51" s="15" t="s">
        <v>182</v>
      </c>
      <c r="D51" s="11">
        <v>0.01</v>
      </c>
    </row>
    <row r="52" spans="1:4" ht="15.75">
      <c r="A52" s="164" t="s">
        <v>454</v>
      </c>
      <c r="B52" s="14"/>
      <c r="C52" s="15" t="s">
        <v>182</v>
      </c>
      <c r="D52" s="11">
        <v>1</v>
      </c>
    </row>
    <row r="53" spans="1:4" ht="16.5" thickBot="1">
      <c r="A53" s="12" t="s">
        <v>455</v>
      </c>
      <c r="B53" s="16"/>
      <c r="C53" s="17" t="s">
        <v>182</v>
      </c>
      <c r="D53" s="13">
        <v>0.1</v>
      </c>
    </row>
    <row r="55" ht="13.5" thickBot="1">
      <c r="A55" s="163" t="s">
        <v>456</v>
      </c>
    </row>
    <row r="56" spans="1:4" ht="15.75" thickBot="1">
      <c r="A56" s="5" t="s">
        <v>432</v>
      </c>
      <c r="B56" s="5" t="s">
        <v>67</v>
      </c>
      <c r="C56" s="5" t="s">
        <v>1</v>
      </c>
      <c r="D56" s="6" t="s">
        <v>30</v>
      </c>
    </row>
    <row r="57" spans="1:4" ht="15.75" thickBot="1">
      <c r="A57" s="166" t="s">
        <v>458</v>
      </c>
      <c r="B57" s="166"/>
      <c r="C57" s="166"/>
      <c r="D57" s="167"/>
    </row>
    <row r="58" spans="1:4" ht="15.75">
      <c r="A58" s="164" t="s">
        <v>457</v>
      </c>
      <c r="B58" s="164" t="s">
        <v>457</v>
      </c>
      <c r="C58" s="15" t="s">
        <v>182</v>
      </c>
      <c r="D58" s="11">
        <v>0.5</v>
      </c>
    </row>
    <row r="59" spans="1:4" ht="15.75">
      <c r="A59" s="165" t="s">
        <v>459</v>
      </c>
      <c r="B59" s="164"/>
      <c r="C59" s="15" t="s">
        <v>182</v>
      </c>
      <c r="D59" s="11">
        <v>0.1</v>
      </c>
    </row>
    <row r="60" spans="1:4" ht="15.75">
      <c r="A60" s="165" t="s">
        <v>186</v>
      </c>
      <c r="B60" s="164"/>
      <c r="C60" s="15" t="s">
        <v>182</v>
      </c>
      <c r="D60" s="11">
        <v>0.01</v>
      </c>
    </row>
    <row r="61" spans="1:4" ht="15.75">
      <c r="A61" s="165" t="s">
        <v>460</v>
      </c>
      <c r="B61" s="164"/>
      <c r="C61" s="15" t="s">
        <v>182</v>
      </c>
      <c r="D61" s="11">
        <v>0.01</v>
      </c>
    </row>
    <row r="62" spans="1:4" ht="15.75">
      <c r="A62" s="165" t="s">
        <v>388</v>
      </c>
      <c r="B62" s="164"/>
      <c r="C62" s="15" t="s">
        <v>182</v>
      </c>
      <c r="D62" s="11">
        <v>0.01</v>
      </c>
    </row>
    <row r="63" spans="1:4" ht="15.75">
      <c r="A63" s="165" t="s">
        <v>461</v>
      </c>
      <c r="B63" s="164"/>
      <c r="C63" s="15" t="s">
        <v>182</v>
      </c>
      <c r="D63" s="11">
        <v>0.01</v>
      </c>
    </row>
    <row r="64" spans="1:4" ht="15.75">
      <c r="A64" s="165" t="s">
        <v>462</v>
      </c>
      <c r="B64" s="164"/>
      <c r="C64" s="15" t="s">
        <v>182</v>
      </c>
      <c r="D64" s="11">
        <v>0.01</v>
      </c>
    </row>
    <row r="65" spans="1:4" ht="15.75">
      <c r="A65" s="165" t="s">
        <v>463</v>
      </c>
      <c r="B65" s="164"/>
      <c r="C65" s="15" t="s">
        <v>182</v>
      </c>
      <c r="D65" s="11">
        <v>0.01</v>
      </c>
    </row>
    <row r="66" spans="1:4" ht="15.75">
      <c r="A66" s="165" t="s">
        <v>494</v>
      </c>
      <c r="B66" s="164"/>
      <c r="C66" s="15" t="s">
        <v>182</v>
      </c>
      <c r="D66" s="11">
        <v>0.01</v>
      </c>
    </row>
    <row r="67" spans="1:4" ht="15.75">
      <c r="A67" s="165" t="s">
        <v>464</v>
      </c>
      <c r="B67" s="164"/>
      <c r="C67" s="15" t="s">
        <v>182</v>
      </c>
      <c r="D67" s="11">
        <v>0.01</v>
      </c>
    </row>
    <row r="68" spans="1:4" ht="15.75">
      <c r="A68" s="165" t="s">
        <v>465</v>
      </c>
      <c r="B68" s="164"/>
      <c r="C68" s="15" t="s">
        <v>182</v>
      </c>
      <c r="D68" s="11">
        <v>0.01</v>
      </c>
    </row>
    <row r="69" spans="1:4" ht="15.75">
      <c r="A69" s="165" t="s">
        <v>387</v>
      </c>
      <c r="B69" s="164"/>
      <c r="C69" s="15" t="s">
        <v>182</v>
      </c>
      <c r="D69" s="11">
        <v>0.003</v>
      </c>
    </row>
    <row r="70" spans="1:4" ht="15.75">
      <c r="A70" s="165" t="s">
        <v>466</v>
      </c>
      <c r="B70" s="164"/>
      <c r="C70" s="15" t="s">
        <v>182</v>
      </c>
      <c r="D70" s="11">
        <v>0.004</v>
      </c>
    </row>
    <row r="71" spans="1:4" ht="15.75">
      <c r="A71" s="165" t="s">
        <v>391</v>
      </c>
      <c r="B71" s="164"/>
      <c r="C71" s="15" t="s">
        <v>182</v>
      </c>
      <c r="D71" s="11">
        <v>0.05</v>
      </c>
    </row>
    <row r="72" spans="1:4" ht="15.75">
      <c r="A72" s="165" t="s">
        <v>390</v>
      </c>
      <c r="B72" s="164"/>
      <c r="C72" s="15" t="s">
        <v>182</v>
      </c>
      <c r="D72" s="11">
        <v>0.07</v>
      </c>
    </row>
    <row r="73" spans="1:4" ht="15.75">
      <c r="A73" s="165" t="s">
        <v>467</v>
      </c>
      <c r="B73" s="164"/>
      <c r="C73" s="15" t="s">
        <v>182</v>
      </c>
      <c r="D73" s="11">
        <v>0.02</v>
      </c>
    </row>
    <row r="74" spans="1:4" ht="15.75">
      <c r="A74" s="165" t="s">
        <v>468</v>
      </c>
      <c r="B74" s="164"/>
      <c r="C74" s="15" t="s">
        <v>182</v>
      </c>
      <c r="D74" s="11">
        <v>0.02</v>
      </c>
    </row>
    <row r="75" spans="1:4" ht="15.75">
      <c r="A75" s="165" t="s">
        <v>469</v>
      </c>
      <c r="B75" s="164"/>
      <c r="C75" s="15" t="s">
        <v>182</v>
      </c>
      <c r="D75" s="11">
        <v>0.0002</v>
      </c>
    </row>
    <row r="76" spans="1:4" ht="15.75">
      <c r="A76" s="165" t="s">
        <v>354</v>
      </c>
      <c r="B76" s="164"/>
      <c r="C76" s="15" t="s">
        <v>182</v>
      </c>
      <c r="D76" s="11">
        <v>0.1</v>
      </c>
    </row>
    <row r="77" spans="1:4" ht="15.75">
      <c r="A77" s="165" t="s">
        <v>470</v>
      </c>
      <c r="B77" s="164"/>
      <c r="C77" s="15" t="s">
        <v>182</v>
      </c>
      <c r="D77" s="11">
        <v>0.008</v>
      </c>
    </row>
    <row r="78" spans="1:4" ht="15.75">
      <c r="A78" s="165" t="s">
        <v>471</v>
      </c>
      <c r="B78" s="164"/>
      <c r="C78" s="15" t="s">
        <v>182</v>
      </c>
      <c r="D78" s="11">
        <v>0.03</v>
      </c>
    </row>
    <row r="79" spans="1:4" ht="15.75">
      <c r="A79" s="165" t="s">
        <v>472</v>
      </c>
      <c r="B79" s="164"/>
      <c r="C79" s="15" t="s">
        <v>182</v>
      </c>
      <c r="D79" s="11">
        <v>0.03</v>
      </c>
    </row>
    <row r="80" spans="1:4" ht="15.75">
      <c r="A80" s="165" t="s">
        <v>473</v>
      </c>
      <c r="B80" s="164"/>
      <c r="C80" s="15" t="s">
        <v>182</v>
      </c>
      <c r="D80" s="11">
        <v>0.03</v>
      </c>
    </row>
    <row r="81" spans="1:4" ht="15.75">
      <c r="A81" s="165" t="s">
        <v>474</v>
      </c>
      <c r="B81" s="164"/>
      <c r="C81" s="15" t="s">
        <v>182</v>
      </c>
      <c r="D81" s="11">
        <v>0.03</v>
      </c>
    </row>
    <row r="82" spans="1:4" ht="15.75">
      <c r="A82" s="165" t="s">
        <v>402</v>
      </c>
      <c r="B82" s="164"/>
      <c r="C82" s="15" t="s">
        <v>182</v>
      </c>
      <c r="D82" s="11">
        <v>0.0001</v>
      </c>
    </row>
    <row r="83" spans="1:4" ht="15.75">
      <c r="A83" s="165" t="s">
        <v>475</v>
      </c>
      <c r="B83" s="164"/>
      <c r="C83" s="15" t="s">
        <v>182</v>
      </c>
      <c r="D83" s="11">
        <v>0.002</v>
      </c>
    </row>
    <row r="84" spans="1:4" ht="15.75">
      <c r="A84" s="165" t="s">
        <v>476</v>
      </c>
      <c r="B84" s="164"/>
      <c r="C84" s="15" t="s">
        <v>182</v>
      </c>
      <c r="D84" s="11">
        <v>0.01</v>
      </c>
    </row>
    <row r="85" spans="1:4" ht="16.5" thickBot="1">
      <c r="A85" s="165" t="s">
        <v>477</v>
      </c>
      <c r="B85" s="164"/>
      <c r="C85" s="15" t="s">
        <v>182</v>
      </c>
      <c r="D85" s="11">
        <v>0.01</v>
      </c>
    </row>
    <row r="86" spans="1:4" ht="15.75" thickBot="1">
      <c r="A86" s="5" t="s">
        <v>478</v>
      </c>
      <c r="B86" s="5"/>
      <c r="C86" s="5"/>
      <c r="D86" s="6"/>
    </row>
    <row r="87" spans="1:4" ht="15.75">
      <c r="A87" s="165" t="s">
        <v>405</v>
      </c>
      <c r="B87" s="14" t="s">
        <v>479</v>
      </c>
      <c r="C87" s="15" t="s">
        <v>182</v>
      </c>
      <c r="D87" s="11">
        <v>10</v>
      </c>
    </row>
    <row r="88" spans="1:4" ht="15.75">
      <c r="A88" s="165" t="s">
        <v>406</v>
      </c>
      <c r="B88" s="164"/>
      <c r="C88" s="15" t="s">
        <v>182</v>
      </c>
      <c r="D88" s="11">
        <v>1</v>
      </c>
    </row>
    <row r="89" spans="1:4" ht="15.75">
      <c r="A89" s="165" t="s">
        <v>480</v>
      </c>
      <c r="B89" s="164"/>
      <c r="C89" s="15" t="s">
        <v>182</v>
      </c>
      <c r="D89" s="11">
        <v>10</v>
      </c>
    </row>
    <row r="90" spans="1:4" ht="15.75">
      <c r="A90" s="165" t="s">
        <v>481</v>
      </c>
      <c r="B90" s="164"/>
      <c r="C90" s="15" t="s">
        <v>182</v>
      </c>
      <c r="D90" s="11">
        <v>3</v>
      </c>
    </row>
    <row r="91" spans="1:4" ht="15.75">
      <c r="A91" s="165" t="s">
        <v>482</v>
      </c>
      <c r="B91" s="164"/>
      <c r="C91" s="15" t="s">
        <v>182</v>
      </c>
      <c r="D91" s="11">
        <v>0.2</v>
      </c>
    </row>
    <row r="92" spans="1:4" ht="15.75">
      <c r="A92" s="165" t="s">
        <v>483</v>
      </c>
      <c r="B92" s="164"/>
      <c r="C92" s="15" t="s">
        <v>182</v>
      </c>
      <c r="D92" s="11">
        <v>0.2</v>
      </c>
    </row>
    <row r="93" spans="1:4" ht="15.75">
      <c r="A93" s="165" t="s">
        <v>484</v>
      </c>
      <c r="B93" s="164"/>
      <c r="C93" s="15" t="s">
        <v>182</v>
      </c>
      <c r="D93" s="11">
        <v>0.05</v>
      </c>
    </row>
    <row r="94" spans="1:4" ht="15.75">
      <c r="A94" s="165" t="s">
        <v>485</v>
      </c>
      <c r="B94" s="164"/>
      <c r="C94" s="15" t="s">
        <v>182</v>
      </c>
      <c r="D94" s="11">
        <v>0.05</v>
      </c>
    </row>
    <row r="95" spans="1:4" ht="15.75">
      <c r="A95" s="165" t="s">
        <v>486</v>
      </c>
      <c r="B95" s="14" t="s">
        <v>487</v>
      </c>
      <c r="C95" s="15" t="s">
        <v>182</v>
      </c>
      <c r="D95" s="11">
        <v>0.2</v>
      </c>
    </row>
    <row r="96" spans="1:4" ht="15.75">
      <c r="A96" s="165" t="s">
        <v>407</v>
      </c>
      <c r="B96" s="164"/>
      <c r="C96" s="15" t="s">
        <v>182</v>
      </c>
      <c r="D96" s="11">
        <v>1</v>
      </c>
    </row>
    <row r="97" spans="1:4" ht="15.75">
      <c r="A97" s="165" t="s">
        <v>488</v>
      </c>
      <c r="B97" s="14" t="s">
        <v>489</v>
      </c>
      <c r="C97" s="15" t="s">
        <v>182</v>
      </c>
      <c r="D97" s="11">
        <v>0.2</v>
      </c>
    </row>
    <row r="98" spans="1:4" ht="15.75">
      <c r="A98" s="165" t="s">
        <v>356</v>
      </c>
      <c r="B98" s="164"/>
      <c r="C98" s="15" t="s">
        <v>182</v>
      </c>
      <c r="D98" s="11">
        <v>0.7</v>
      </c>
    </row>
    <row r="99" spans="1:4" ht="15.75">
      <c r="A99" s="165" t="s">
        <v>490</v>
      </c>
      <c r="B99" s="14"/>
      <c r="C99" s="15" t="s">
        <v>182</v>
      </c>
      <c r="D99" s="11">
        <v>100</v>
      </c>
    </row>
    <row r="100" spans="1:4" ht="15.75">
      <c r="A100" s="165" t="s">
        <v>491</v>
      </c>
      <c r="B100" s="164"/>
      <c r="C100" s="15" t="s">
        <v>182</v>
      </c>
      <c r="D100" s="11">
        <v>0.3</v>
      </c>
    </row>
    <row r="101" spans="1:4" ht="15.75">
      <c r="A101" s="10" t="s">
        <v>492</v>
      </c>
      <c r="B101" s="14" t="s">
        <v>408</v>
      </c>
      <c r="C101" s="15" t="s">
        <v>182</v>
      </c>
      <c r="D101" s="11">
        <v>2</v>
      </c>
    </row>
    <row r="102" spans="1:4" ht="15.75">
      <c r="A102" s="10" t="s">
        <v>409</v>
      </c>
      <c r="B102" s="14"/>
      <c r="C102" s="15" t="s">
        <v>182</v>
      </c>
      <c r="D102" s="11">
        <v>5</v>
      </c>
    </row>
    <row r="103" spans="1:4" ht="16.5" thickBot="1">
      <c r="A103" s="12" t="s">
        <v>410</v>
      </c>
      <c r="B103" s="16"/>
      <c r="C103" s="17" t="s">
        <v>182</v>
      </c>
      <c r="D103" s="13">
        <v>175</v>
      </c>
    </row>
  </sheetData>
  <sheetProtection password="9C67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Q10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4.7109375" style="36" customWidth="1"/>
    <col min="2" max="2" width="20.00390625" style="36" customWidth="1"/>
    <col min="3" max="3" width="12.7109375" style="36" customWidth="1"/>
    <col min="4" max="4" width="39.7109375" style="36" customWidth="1"/>
    <col min="5" max="5" width="12.57421875" style="36" customWidth="1"/>
    <col min="6" max="6" width="35.421875" style="36" customWidth="1"/>
    <col min="7" max="7" width="3.57421875" style="36" customWidth="1"/>
    <col min="8" max="8" width="11.421875" style="36" customWidth="1"/>
    <col min="9" max="9" width="6.00390625" style="36" customWidth="1"/>
    <col min="10" max="10" width="18.421875" style="36" customWidth="1"/>
    <col min="11" max="11" width="40.57421875" style="36" customWidth="1"/>
    <col min="12" max="12" width="46.00390625" style="36" customWidth="1"/>
    <col min="13" max="13" width="35.421875" style="36" customWidth="1"/>
    <col min="14" max="14" width="38.140625" style="36" customWidth="1"/>
    <col min="15" max="15" width="37.8515625" style="36" customWidth="1"/>
    <col min="16" max="16" width="35.57421875" style="36" customWidth="1"/>
    <col min="17" max="16384" width="11.421875" style="36" customWidth="1"/>
  </cols>
  <sheetData>
    <row r="1" spans="1:10" ht="18">
      <c r="A1" s="34" t="s">
        <v>213</v>
      </c>
      <c r="B1" s="34"/>
      <c r="C1" s="35" t="s">
        <v>253</v>
      </c>
      <c r="D1" s="32" t="s">
        <v>952</v>
      </c>
      <c r="F1" s="80"/>
      <c r="G1" s="37"/>
      <c r="H1" s="37"/>
      <c r="I1" s="37"/>
      <c r="J1" s="37"/>
    </row>
    <row r="2" spans="1:10" ht="18">
      <c r="A2" s="34" t="s">
        <v>193</v>
      </c>
      <c r="B2" s="38"/>
      <c r="C2" s="39" t="s">
        <v>254</v>
      </c>
      <c r="D2" s="33" t="s">
        <v>1097</v>
      </c>
      <c r="F2" s="40" t="s">
        <v>249</v>
      </c>
      <c r="G2" s="37"/>
      <c r="I2" s="37"/>
      <c r="J2" s="37"/>
    </row>
    <row r="3" spans="1:4" ht="12.75">
      <c r="A3" s="41" t="s">
        <v>178</v>
      </c>
      <c r="C3" s="42" t="s">
        <v>255</v>
      </c>
      <c r="D3" s="133">
        <f ca="1">NOW()</f>
        <v>39871.32576423611</v>
      </c>
    </row>
    <row r="4" ht="13.5" thickBot="1">
      <c r="A4" s="43" t="s">
        <v>179</v>
      </c>
    </row>
    <row r="5" spans="1:5" ht="12.75">
      <c r="A5" s="44" t="s">
        <v>0</v>
      </c>
      <c r="B5" s="322" t="s">
        <v>67</v>
      </c>
      <c r="C5" s="322" t="s">
        <v>1</v>
      </c>
      <c r="D5" s="323" t="s">
        <v>30</v>
      </c>
      <c r="E5" s="343" t="s">
        <v>1004</v>
      </c>
    </row>
    <row r="6" spans="1:5" ht="12.75">
      <c r="A6" s="46" t="s">
        <v>28</v>
      </c>
      <c r="B6" s="48"/>
      <c r="C6" s="48"/>
      <c r="D6" s="324" t="s">
        <v>264</v>
      </c>
      <c r="E6" s="345"/>
    </row>
    <row r="7" spans="1:5" ht="12.75">
      <c r="A7" s="46" t="s">
        <v>499</v>
      </c>
      <c r="B7" s="48" t="s">
        <v>498</v>
      </c>
      <c r="C7" s="49" t="s">
        <v>88</v>
      </c>
      <c r="D7" s="325">
        <v>0.2</v>
      </c>
      <c r="E7" s="345"/>
    </row>
    <row r="8" spans="1:5" ht="14.25">
      <c r="A8" s="54" t="s">
        <v>2</v>
      </c>
      <c r="B8" s="55" t="s">
        <v>156</v>
      </c>
      <c r="C8" s="55" t="s">
        <v>157</v>
      </c>
      <c r="D8" s="326">
        <v>1100</v>
      </c>
      <c r="E8" s="345"/>
    </row>
    <row r="9" spans="1:5" ht="12.75">
      <c r="A9" s="54" t="s">
        <v>3</v>
      </c>
      <c r="B9" s="55" t="s">
        <v>69</v>
      </c>
      <c r="C9" s="55" t="s">
        <v>4</v>
      </c>
      <c r="D9" s="326">
        <v>4.5</v>
      </c>
      <c r="E9" s="345"/>
    </row>
    <row r="10" spans="1:5" ht="12.75">
      <c r="A10" s="54" t="s">
        <v>63</v>
      </c>
      <c r="B10" s="55" t="s">
        <v>158</v>
      </c>
      <c r="C10" s="55" t="s">
        <v>4</v>
      </c>
      <c r="D10" s="326">
        <v>0.5</v>
      </c>
      <c r="E10" s="345"/>
    </row>
    <row r="11" spans="1:5" ht="12.75">
      <c r="A11" s="54" t="s">
        <v>5</v>
      </c>
      <c r="B11" s="55" t="s">
        <v>159</v>
      </c>
      <c r="C11" s="55" t="s">
        <v>4</v>
      </c>
      <c r="D11" s="326">
        <v>0.7</v>
      </c>
      <c r="E11" s="345"/>
    </row>
    <row r="12" spans="1:5" ht="12.75">
      <c r="A12" s="341" t="s">
        <v>1093</v>
      </c>
      <c r="B12" s="553"/>
      <c r="C12" s="553"/>
      <c r="D12" s="554" t="s">
        <v>294</v>
      </c>
      <c r="E12" s="345"/>
    </row>
    <row r="13" spans="1:5" ht="12.75">
      <c r="A13" s="54" t="s">
        <v>6</v>
      </c>
      <c r="B13" s="55" t="s">
        <v>160</v>
      </c>
      <c r="C13" s="55" t="s">
        <v>7</v>
      </c>
      <c r="D13" s="326">
        <v>23</v>
      </c>
      <c r="E13" s="345"/>
    </row>
    <row r="14" spans="1:5" ht="14.25">
      <c r="A14" s="54" t="s">
        <v>8</v>
      </c>
      <c r="B14" s="49" t="s">
        <v>161</v>
      </c>
      <c r="C14" s="48" t="s">
        <v>162</v>
      </c>
      <c r="D14" s="570">
        <v>1.3</v>
      </c>
      <c r="E14" s="345"/>
    </row>
    <row r="15" spans="1:5" ht="14.25">
      <c r="A15" s="54" t="s">
        <v>180</v>
      </c>
      <c r="B15" s="49" t="s">
        <v>163</v>
      </c>
      <c r="C15" s="48" t="s">
        <v>162</v>
      </c>
      <c r="D15" s="570">
        <v>1.7</v>
      </c>
      <c r="E15" s="345"/>
    </row>
    <row r="16" spans="1:5" ht="12.75" hidden="1">
      <c r="A16" s="81"/>
      <c r="B16" s="82"/>
      <c r="C16" s="82"/>
      <c r="D16" s="571"/>
      <c r="E16" s="345"/>
    </row>
    <row r="17" spans="1:5" ht="12.75">
      <c r="A17" s="54" t="s">
        <v>9</v>
      </c>
      <c r="B17" s="55" t="s">
        <v>164</v>
      </c>
      <c r="C17" s="55" t="s">
        <v>10</v>
      </c>
      <c r="D17" s="570">
        <v>85</v>
      </c>
      <c r="E17" s="345"/>
    </row>
    <row r="18" spans="1:5" ht="15.75">
      <c r="A18" s="52" t="s">
        <v>11</v>
      </c>
      <c r="B18" s="53" t="s">
        <v>165</v>
      </c>
      <c r="C18" s="53" t="s">
        <v>12</v>
      </c>
      <c r="D18" s="328">
        <f>D8*(D11-D10)*D14*1000*D17/1000000</f>
        <v>24.309999999999995</v>
      </c>
      <c r="E18" s="346"/>
    </row>
    <row r="19" spans="1:5" ht="14.25">
      <c r="A19" s="46" t="s">
        <v>13</v>
      </c>
      <c r="B19" s="55" t="s">
        <v>166</v>
      </c>
      <c r="C19" s="48" t="s">
        <v>7</v>
      </c>
      <c r="D19" s="325">
        <v>100</v>
      </c>
      <c r="E19" s="345"/>
    </row>
    <row r="20" spans="1:5" ht="14.25">
      <c r="A20" s="52" t="s">
        <v>64</v>
      </c>
      <c r="B20" s="53"/>
      <c r="C20" s="53" t="s">
        <v>256</v>
      </c>
      <c r="D20" s="329">
        <f>D18*D19/D8/100*1000</f>
        <v>22.099999999999994</v>
      </c>
      <c r="E20" s="329"/>
    </row>
    <row r="21" spans="1:5" ht="15.75">
      <c r="A21" s="54" t="s">
        <v>251</v>
      </c>
      <c r="B21" s="55" t="s">
        <v>215</v>
      </c>
      <c r="C21" s="49" t="s">
        <v>93</v>
      </c>
      <c r="D21" s="572">
        <v>750</v>
      </c>
      <c r="E21" s="345"/>
    </row>
    <row r="22" spans="1:5" ht="14.25" hidden="1">
      <c r="A22" s="54" t="s">
        <v>58</v>
      </c>
      <c r="B22" s="55" t="s">
        <v>191</v>
      </c>
      <c r="C22" s="49" t="s">
        <v>93</v>
      </c>
      <c r="D22" s="572">
        <v>0</v>
      </c>
      <c r="E22" s="345"/>
    </row>
    <row r="23" spans="1:5" ht="14.25">
      <c r="A23" s="54" t="s">
        <v>82</v>
      </c>
      <c r="B23" s="55" t="s">
        <v>216</v>
      </c>
      <c r="C23" s="49" t="s">
        <v>93</v>
      </c>
      <c r="D23" s="572">
        <v>0</v>
      </c>
      <c r="E23" s="345"/>
    </row>
    <row r="24" spans="1:5" ht="14.25">
      <c r="A24" s="341" t="s">
        <v>65</v>
      </c>
      <c r="B24" s="342" t="s">
        <v>1003</v>
      </c>
      <c r="C24" s="342" t="s">
        <v>27</v>
      </c>
      <c r="D24" s="557">
        <v>0.008484</v>
      </c>
      <c r="E24" s="344">
        <f>D21/1000000*D27/(D18*1000*D19/100/D8)</f>
        <v>0.008484162895927603</v>
      </c>
    </row>
    <row r="25" spans="1:5" ht="14.25">
      <c r="A25" s="52" t="s">
        <v>14</v>
      </c>
      <c r="B25" s="53" t="s">
        <v>168</v>
      </c>
      <c r="C25" s="53" t="s">
        <v>15</v>
      </c>
      <c r="D25" s="328">
        <f>(LN(D21)-LN(D7))/D24</f>
        <v>970.0036679590354</v>
      </c>
      <c r="E25" s="345"/>
    </row>
    <row r="26" spans="1:5" ht="15">
      <c r="A26" s="52" t="s">
        <v>66</v>
      </c>
      <c r="B26" s="53" t="s">
        <v>214</v>
      </c>
      <c r="C26" s="53" t="s">
        <v>170</v>
      </c>
      <c r="D26" s="328">
        <f>D27/1000*D21</f>
        <v>187.5</v>
      </c>
      <c r="E26" s="345"/>
    </row>
    <row r="27" spans="1:5" ht="12.75">
      <c r="A27" s="46" t="s">
        <v>17</v>
      </c>
      <c r="B27" s="48" t="s">
        <v>171</v>
      </c>
      <c r="C27" s="48" t="s">
        <v>18</v>
      </c>
      <c r="D27" s="325">
        <v>250</v>
      </c>
      <c r="E27" s="345"/>
    </row>
    <row r="28" spans="1:5" ht="14.25">
      <c r="A28" s="52" t="s">
        <v>19</v>
      </c>
      <c r="B28" s="53" t="s">
        <v>172</v>
      </c>
      <c r="C28" s="53" t="s">
        <v>4</v>
      </c>
      <c r="D28" s="328">
        <f>D9-D11</f>
        <v>3.8</v>
      </c>
      <c r="E28" s="345"/>
    </row>
    <row r="29" spans="1:5" ht="14.25">
      <c r="A29" s="52" t="s">
        <v>248</v>
      </c>
      <c r="B29" s="53" t="s">
        <v>173</v>
      </c>
      <c r="C29" s="53" t="s">
        <v>21</v>
      </c>
      <c r="D29" s="328">
        <f>D27/1000/(D13/100)</f>
        <v>1.0869565217391304</v>
      </c>
      <c r="E29" s="345"/>
    </row>
    <row r="30" spans="1:5" ht="14.25">
      <c r="A30" s="52" t="s">
        <v>22</v>
      </c>
      <c r="B30" s="53" t="s">
        <v>174</v>
      </c>
      <c r="C30" s="53" t="s">
        <v>15</v>
      </c>
      <c r="D30" s="328">
        <f>D28/D29*D36</f>
        <v>161.74015999999997</v>
      </c>
      <c r="E30" s="345"/>
    </row>
    <row r="31" spans="1:5" ht="14.25">
      <c r="A31" s="46" t="s">
        <v>219</v>
      </c>
      <c r="B31" s="48" t="s">
        <v>220</v>
      </c>
      <c r="C31" s="48"/>
      <c r="D31" s="330">
        <v>0.1</v>
      </c>
      <c r="E31" s="345"/>
    </row>
    <row r="32" spans="1:5" ht="14.25">
      <c r="A32" s="52" t="s">
        <v>23</v>
      </c>
      <c r="B32" s="57" t="s">
        <v>218</v>
      </c>
      <c r="C32" s="53" t="s">
        <v>4</v>
      </c>
      <c r="D32" s="329">
        <f>D28*D31</f>
        <v>0.38</v>
      </c>
      <c r="E32" s="345"/>
    </row>
    <row r="33" spans="1:5" ht="15">
      <c r="A33" s="52" t="s">
        <v>247</v>
      </c>
      <c r="B33" s="53" t="s">
        <v>217</v>
      </c>
      <c r="C33" s="53" t="s">
        <v>175</v>
      </c>
      <c r="D33" s="329">
        <f>D32*D29</f>
        <v>0.41304347826086957</v>
      </c>
      <c r="E33" s="345"/>
    </row>
    <row r="34" spans="1:5" ht="12.75" hidden="1">
      <c r="A34" s="81"/>
      <c r="B34" s="82"/>
      <c r="C34" s="82"/>
      <c r="D34" s="327"/>
      <c r="E34" s="345"/>
    </row>
    <row r="35" spans="1:5" ht="14.25">
      <c r="A35" s="46" t="s">
        <v>246</v>
      </c>
      <c r="B35" s="48" t="s">
        <v>221</v>
      </c>
      <c r="C35" s="48" t="s">
        <v>24</v>
      </c>
      <c r="D35" s="330">
        <v>6.124</v>
      </c>
      <c r="E35" s="345"/>
    </row>
    <row r="36" spans="1:5" ht="12.75">
      <c r="A36" s="52" t="s">
        <v>25</v>
      </c>
      <c r="B36" s="53" t="s">
        <v>89</v>
      </c>
      <c r="C36" s="53"/>
      <c r="D36" s="328">
        <f>1+D15/(D13/100)*D35</f>
        <v>46.26434782608695</v>
      </c>
      <c r="E36" s="345"/>
    </row>
    <row r="37" spans="1:5" ht="14.25">
      <c r="A37" s="46" t="s">
        <v>26</v>
      </c>
      <c r="B37" s="48" t="s">
        <v>176</v>
      </c>
      <c r="C37" s="48" t="s">
        <v>15</v>
      </c>
      <c r="D37" s="330">
        <v>0.592</v>
      </c>
      <c r="E37" s="345"/>
    </row>
    <row r="38" spans="1:5" ht="13.5" thickBot="1">
      <c r="A38" s="58" t="s">
        <v>91</v>
      </c>
      <c r="B38" s="59" t="s">
        <v>177</v>
      </c>
      <c r="C38" s="60" t="s">
        <v>27</v>
      </c>
      <c r="D38" s="331">
        <f>LN(2)/D37</f>
        <v>1.1708567239188266</v>
      </c>
      <c r="E38" s="347"/>
    </row>
    <row r="39" spans="1:5" ht="12.75" hidden="1">
      <c r="A39" s="140" t="s">
        <v>285</v>
      </c>
      <c r="D39" s="141" t="str">
        <f>IF(1+4*$D$33/$D$29^2*($D$38-$D$24*$D$36)&lt;0,"Nein","Ja")</f>
        <v>Ja</v>
      </c>
      <c r="E39" s="348"/>
    </row>
    <row r="40" ht="13.5" thickBot="1">
      <c r="D40" s="61"/>
    </row>
    <row r="41" spans="1:4" ht="21.75" customHeight="1">
      <c r="A41" s="83" t="s">
        <v>92</v>
      </c>
      <c r="B41" s="84"/>
      <c r="C41" s="84"/>
      <c r="D41" s="85"/>
    </row>
    <row r="42" spans="1:4" ht="12.75" hidden="1">
      <c r="A42" s="86"/>
      <c r="B42" s="87"/>
      <c r="C42" s="87"/>
      <c r="D42" s="88"/>
    </row>
    <row r="43" spans="1:4" s="20" customFormat="1" ht="12.75" hidden="1">
      <c r="A43" s="407" t="s">
        <v>31</v>
      </c>
      <c r="B43" s="408"/>
      <c r="C43" s="408"/>
      <c r="D43" s="28"/>
    </row>
    <row r="44" spans="1:4" s="20" customFormat="1" ht="12.75" hidden="1">
      <c r="A44" s="407"/>
      <c r="B44" s="408"/>
      <c r="C44" s="408"/>
      <c r="D44" s="28"/>
    </row>
    <row r="45" spans="1:4" s="20" customFormat="1" ht="12.75" hidden="1">
      <c r="A45" s="407" t="s">
        <v>87</v>
      </c>
      <c r="B45" s="408" t="s">
        <v>59</v>
      </c>
      <c r="C45" s="408" t="s">
        <v>15</v>
      </c>
      <c r="D45" s="28">
        <v>1293</v>
      </c>
    </row>
    <row r="46" spans="1:4" s="20" customFormat="1" ht="12.75" hidden="1">
      <c r="A46" s="409" t="s">
        <v>41</v>
      </c>
      <c r="B46" s="408"/>
      <c r="C46" s="408"/>
      <c r="D46" s="28"/>
    </row>
    <row r="47" spans="1:4" s="20" customFormat="1" ht="12.75" hidden="1">
      <c r="A47" s="407" t="s">
        <v>33</v>
      </c>
      <c r="B47" s="408"/>
      <c r="C47" s="408"/>
      <c r="D47" s="28">
        <f>EXP(-$D$38*D$45/$D$36)</f>
        <v>6.144585373195355E-15</v>
      </c>
    </row>
    <row r="48" spans="1:4" s="20" customFormat="1" ht="12.75" hidden="1">
      <c r="A48" s="407" t="s">
        <v>40</v>
      </c>
      <c r="B48" s="408"/>
      <c r="C48" s="408"/>
      <c r="D48" s="134">
        <f>EXP(-($D$36*$D$28-$D$29*D$45)^2/(4*$D$33*$D$36*D$45))</f>
        <v>4406020.839231421</v>
      </c>
    </row>
    <row r="49" spans="1:4" s="20" customFormat="1" ht="12.75" hidden="1">
      <c r="A49" s="407" t="s">
        <v>34</v>
      </c>
      <c r="B49" s="408"/>
      <c r="C49" s="408"/>
      <c r="D49" s="28">
        <f>$D$36*$D$28-$D$29*D$45</f>
        <v>-1229.630260869565</v>
      </c>
    </row>
    <row r="50" spans="1:4" s="20" customFormat="1" ht="12.75" hidden="1">
      <c r="A50" s="407" t="s">
        <v>35</v>
      </c>
      <c r="B50" s="408"/>
      <c r="C50" s="408"/>
      <c r="D50" s="28">
        <f>$D$36*$D$28+$D$29*D$45</f>
        <v>1581.239304347826</v>
      </c>
    </row>
    <row r="51" spans="1:4" s="20" customFormat="1" ht="12.75" hidden="1">
      <c r="A51" s="407" t="s">
        <v>36</v>
      </c>
      <c r="B51" s="408"/>
      <c r="C51" s="408"/>
      <c r="D51" s="28">
        <f>2*SQRT($D$33*$D$36*D$45)</f>
        <v>314.37671020103284</v>
      </c>
    </row>
    <row r="52" spans="1:4" s="20" customFormat="1" ht="12.75" hidden="1">
      <c r="A52" s="407" t="s">
        <v>37</v>
      </c>
      <c r="B52" s="408"/>
      <c r="C52" s="408"/>
      <c r="D52" s="28">
        <f>SQRT(($D$29^2*D$45)/(PI()*$D$33*$D$36))</f>
        <v>5.044468238098678</v>
      </c>
    </row>
    <row r="53" spans="1:4" s="20" customFormat="1" ht="12.75" hidden="1">
      <c r="A53" s="407" t="s">
        <v>38</v>
      </c>
      <c r="B53" s="408"/>
      <c r="C53" s="408"/>
      <c r="D53" s="28">
        <f>IF(D49/D51&lt;0,1+_XLL.GAUSSFEHLER(-D49/D51),_XLL.GAUSSFKOMPL(D49/D51))</f>
        <v>1.9999999682409855</v>
      </c>
    </row>
    <row r="54" spans="1:4" s="20" customFormat="1" ht="12.75" hidden="1">
      <c r="A54" s="407" t="s">
        <v>39</v>
      </c>
      <c r="B54" s="408"/>
      <c r="C54" s="408"/>
      <c r="D54" s="28">
        <f>IF(D50/D51&lt;0,1+_XLL.GAUSSFEHLER(-D50/D51),_XLL.GAUSSFKOMPL(D50/D51))</f>
        <v>1.13420384195706E-12</v>
      </c>
    </row>
    <row r="55" spans="1:4" s="20" customFormat="1" ht="12.75" hidden="1">
      <c r="A55" s="409" t="s">
        <v>32</v>
      </c>
      <c r="B55" s="410"/>
      <c r="C55" s="410"/>
      <c r="D55" s="135">
        <f>D47*(1-0.5*D53-D52*D48+0.5*(1+$D$29*$D$28/$D$33+$D$29^2*D$45/($D$33*$D$36))*EXP($D$29*$D$28/$D$33)*D54)</f>
        <v>-1.36569752236799E-07</v>
      </c>
    </row>
    <row r="56" spans="1:4" s="20" customFormat="1" ht="12.75" hidden="1">
      <c r="A56" s="407"/>
      <c r="B56" s="408"/>
      <c r="C56" s="408"/>
      <c r="D56" s="28"/>
    </row>
    <row r="57" spans="1:4" s="20" customFormat="1" ht="12.75" hidden="1">
      <c r="A57" s="409" t="s">
        <v>42</v>
      </c>
      <c r="B57" s="408"/>
      <c r="C57" s="408"/>
      <c r="D57" s="28"/>
    </row>
    <row r="58" spans="1:4" s="20" customFormat="1" ht="12.75" hidden="1">
      <c r="A58" s="407" t="s">
        <v>44</v>
      </c>
      <c r="B58" s="408"/>
      <c r="C58" s="408"/>
      <c r="D58" s="28">
        <f>$D$29*SQRT(1+4*$D$38*$D$33/$D$29^2)</f>
        <v>1.7652006728192302</v>
      </c>
    </row>
    <row r="59" spans="1:4" s="20" customFormat="1" ht="12.75" hidden="1">
      <c r="A59" s="407" t="s">
        <v>43</v>
      </c>
      <c r="B59" s="408"/>
      <c r="C59" s="408"/>
      <c r="D59" s="28">
        <f>($D$29-D58)*$D$28/(2*$D$33)</f>
        <v>-3.119923094968459</v>
      </c>
    </row>
    <row r="60" spans="1:4" s="20" customFormat="1" ht="12.75" hidden="1">
      <c r="A60" s="407" t="s">
        <v>45</v>
      </c>
      <c r="B60" s="408"/>
      <c r="C60" s="408"/>
      <c r="D60" s="28">
        <f>($D$29+D58)*$D$28/(2*$D$33)</f>
        <v>13.119923094968458</v>
      </c>
    </row>
    <row r="61" spans="1:4" s="20" customFormat="1" ht="12.75" hidden="1">
      <c r="A61" s="407" t="s">
        <v>49</v>
      </c>
      <c r="B61" s="408"/>
      <c r="C61" s="408"/>
      <c r="D61" s="28">
        <f>$D$29*$D$28/$D$33-$D$38*D$45/$D$36</f>
        <v>-22.723205128018563</v>
      </c>
    </row>
    <row r="62" spans="1:4" s="20" customFormat="1" ht="12.75" hidden="1">
      <c r="A62" s="407" t="s">
        <v>51</v>
      </c>
      <c r="B62" s="408"/>
      <c r="C62" s="408"/>
      <c r="D62" s="28">
        <f>$D$36*$D$28-D58*D$45</f>
        <v>-2106.599948216134</v>
      </c>
    </row>
    <row r="63" spans="1:4" s="20" customFormat="1" ht="12.75" hidden="1">
      <c r="A63" s="407" t="s">
        <v>52</v>
      </c>
      <c r="B63" s="408"/>
      <c r="C63" s="408"/>
      <c r="D63" s="28">
        <f>$D$36*$D$28+$D$29*D$45</f>
        <v>1581.239304347826</v>
      </c>
    </row>
    <row r="64" spans="1:4" s="20" customFormat="1" ht="12.75" hidden="1">
      <c r="A64" s="407" t="s">
        <v>55</v>
      </c>
      <c r="B64" s="408"/>
      <c r="C64" s="408"/>
      <c r="D64" s="28">
        <f>$D$36*$D$28+D58*D$45</f>
        <v>2458.208991694395</v>
      </c>
    </row>
    <row r="65" spans="1:4" s="20" customFormat="1" ht="12.75" hidden="1">
      <c r="A65" s="407" t="s">
        <v>46</v>
      </c>
      <c r="B65" s="408"/>
      <c r="C65" s="408"/>
      <c r="D65" s="28">
        <f>EXP(D59)</f>
        <v>0.04416056445870752</v>
      </c>
    </row>
    <row r="66" spans="1:4" s="20" customFormat="1" ht="12.75" hidden="1">
      <c r="A66" s="407" t="s">
        <v>47</v>
      </c>
      <c r="B66" s="408"/>
      <c r="C66" s="408"/>
      <c r="D66" s="28">
        <f>EXP(D60)</f>
        <v>498781.34631640895</v>
      </c>
    </row>
    <row r="67" spans="1:4" s="20" customFormat="1" ht="12.75" hidden="1">
      <c r="A67" s="407" t="s">
        <v>48</v>
      </c>
      <c r="B67" s="408"/>
      <c r="C67" s="408"/>
      <c r="D67" s="28">
        <f>EXP(D61)</f>
        <v>1.3534349954595715E-10</v>
      </c>
    </row>
    <row r="68" spans="1:4" s="20" customFormat="1" ht="12.75" hidden="1">
      <c r="A68" s="407" t="s">
        <v>50</v>
      </c>
      <c r="B68" s="408"/>
      <c r="C68" s="408"/>
      <c r="D68" s="28">
        <f>IF(D62/D51&lt;0,1+_XLL.GAUSSFEHLER(-D62/D51),_XLL.GAUSSFKOMPL(D62/D51))</f>
        <v>2</v>
      </c>
    </row>
    <row r="69" spans="1:4" s="20" customFormat="1" ht="12.75" hidden="1">
      <c r="A69" s="407" t="s">
        <v>53</v>
      </c>
      <c r="B69" s="408"/>
      <c r="C69" s="408"/>
      <c r="D69" s="28">
        <f>IF(D63/D51&lt;0,1+_XLL.GAUSSFEHLER(-D63/D51),_XLL.GAUSSFKOMPL(D63/D51))</f>
        <v>1.13420384195706E-12</v>
      </c>
    </row>
    <row r="70" spans="1:4" s="20" customFormat="1" ht="12.75" hidden="1">
      <c r="A70" s="407" t="s">
        <v>54</v>
      </c>
      <c r="B70" s="408"/>
      <c r="C70" s="408"/>
      <c r="D70" s="28">
        <f>IF(D64/D51&lt;0,1+_XLL.GAUSSFEHLER(-D64/D51),_XLL.GAUSSFKOMPL(D64/D51))</f>
        <v>0</v>
      </c>
    </row>
    <row r="71" spans="1:4" s="20" customFormat="1" ht="12.75" hidden="1">
      <c r="A71" s="409" t="s">
        <v>56</v>
      </c>
      <c r="B71" s="410"/>
      <c r="C71" s="410"/>
      <c r="D71" s="29">
        <f>$D$29/($D$29+D58)*D65*D68+$D$29/($D$29-D58)*D66*D70+$D$29^2/(2*$D$38*$D$33)*D67*D69</f>
        <v>0.033659164111749455</v>
      </c>
    </row>
    <row r="72" spans="1:4" s="20" customFormat="1" ht="12.75" hidden="1">
      <c r="A72" s="407"/>
      <c r="B72" s="408"/>
      <c r="C72" s="408"/>
      <c r="D72" s="28"/>
    </row>
    <row r="73" spans="1:4" s="20" customFormat="1" ht="12.75" hidden="1">
      <c r="A73" s="409" t="s">
        <v>72</v>
      </c>
      <c r="B73" s="408"/>
      <c r="C73" s="408"/>
      <c r="D73" s="28"/>
    </row>
    <row r="74" spans="1:7" s="20" customFormat="1" ht="12.75" hidden="1">
      <c r="A74" s="407" t="s">
        <v>71</v>
      </c>
      <c r="B74" s="408"/>
      <c r="C74" s="408"/>
      <c r="D74" s="28">
        <f>IF($D$39="Ja",$D$29*SQRT(1+4*$D$33/$D$29^2*($D$38-$D$24*$D$36)),_XLL.IMPRODUKT($D$29,_XLL.IMWURZEL(1+4*$D$33/$D$29^2*($D$38-$D$24*$D$36))))</f>
        <v>1.5708099949866055</v>
      </c>
      <c r="G74" s="411"/>
    </row>
    <row r="75" spans="1:9" s="20" customFormat="1" ht="12.75" hidden="1">
      <c r="A75" s="407" t="s">
        <v>73</v>
      </c>
      <c r="B75" s="408"/>
      <c r="C75" s="408"/>
      <c r="D75" s="28">
        <f>IF($D$39="Ja",($D$29-D74)*$D$28/(2*$D$33),_XLL.IMPRODUKT(IMSUB($D$29,D74),IMDIV($D$28,(_XLL.IMPRODUKT(2,$D$33)))))</f>
        <v>-2.2257259769383855</v>
      </c>
      <c r="G75" s="411"/>
      <c r="I75" s="411"/>
    </row>
    <row r="76" spans="1:9" s="20" customFormat="1" ht="12.75" hidden="1">
      <c r="A76" s="407" t="s">
        <v>75</v>
      </c>
      <c r="B76" s="408"/>
      <c r="C76" s="408"/>
      <c r="D76" s="28">
        <f>IF($D$39="Ja",($D$29+D74)*$D$28/(2*$D$33),_XLL.IMPRODUKT(_XLL.IMSUMME($D$29,D74),IMDIV($D$28,_XLL.IMPRODUKT(2,$D$33))))</f>
        <v>12.225725976938383</v>
      </c>
      <c r="G76" s="411"/>
      <c r="I76" s="411"/>
    </row>
    <row r="77" spans="1:9" s="20" customFormat="1" ht="12.75" hidden="1">
      <c r="A77" s="407" t="s">
        <v>76</v>
      </c>
      <c r="B77" s="408"/>
      <c r="C77" s="408"/>
      <c r="D77" s="28">
        <f>$D$29*$D$28/$D$33-$D$38*D$45/$D$36</f>
        <v>-22.723205128018563</v>
      </c>
      <c r="G77" s="411"/>
      <c r="I77" s="411"/>
    </row>
    <row r="78" spans="1:9" s="20" customFormat="1" ht="12.75" hidden="1">
      <c r="A78" s="407" t="s">
        <v>74</v>
      </c>
      <c r="B78" s="408"/>
      <c r="C78" s="408"/>
      <c r="D78" s="28">
        <f>IF($D$39="Ja",$D$36*$D$28-D74*D$45,IMSUB($D$36*$D$28,_XLL.IMPRODUKT(D74,D$45)))</f>
        <v>-1855.2528017785503</v>
      </c>
      <c r="G78" s="411"/>
      <c r="I78" s="411"/>
    </row>
    <row r="79" spans="1:9" s="20" customFormat="1" ht="12.75" hidden="1">
      <c r="A79" s="407" t="s">
        <v>77</v>
      </c>
      <c r="B79" s="408"/>
      <c r="C79" s="408"/>
      <c r="D79" s="28">
        <f>$D$36*$D$28+$D$29*D$45</f>
        <v>1581.239304347826</v>
      </c>
      <c r="G79" s="411"/>
      <c r="I79" s="411"/>
    </row>
    <row r="80" spans="1:9" s="20" customFormat="1" ht="12.75" hidden="1">
      <c r="A80" s="407" t="s">
        <v>78</v>
      </c>
      <c r="B80" s="408"/>
      <c r="C80" s="408"/>
      <c r="D80" s="28">
        <f>IF($D$39="Ja",$D$36*$D$28+D74*D$45,_XLL.IMSUMME($D$36*$D$28,_XLL.IMPRODUKT(D74,D$45)))</f>
        <v>2206.861845256811</v>
      </c>
      <c r="I80" s="411"/>
    </row>
    <row r="81" spans="1:15" s="20" customFormat="1" ht="12.75" hidden="1">
      <c r="A81" s="407" t="s">
        <v>79</v>
      </c>
      <c r="B81" s="408"/>
      <c r="C81" s="408"/>
      <c r="D81" s="28">
        <f>IF($D$39="Ja",EXP(D75),IMEXP(D75))</f>
        <v>0.10798899265228137</v>
      </c>
      <c r="J81" s="412" t="s">
        <v>266</v>
      </c>
      <c r="K81" s="412" t="s">
        <v>267</v>
      </c>
      <c r="L81" s="412" t="s">
        <v>268</v>
      </c>
      <c r="M81" s="412" t="s">
        <v>269</v>
      </c>
      <c r="N81" s="412" t="s">
        <v>270</v>
      </c>
      <c r="O81" s="412" t="s">
        <v>271</v>
      </c>
    </row>
    <row r="82" spans="1:15" s="20" customFormat="1" ht="12.75" hidden="1">
      <c r="A82" s="407" t="s">
        <v>80</v>
      </c>
      <c r="B82" s="408"/>
      <c r="C82" s="408"/>
      <c r="D82" s="28">
        <f>IF($D$39="ja",EXP(D76),IMEXP(D76))</f>
        <v>203969.5459122457</v>
      </c>
      <c r="J82" s="412">
        <v>0.3275911</v>
      </c>
      <c r="K82" s="412">
        <v>0.254829592</v>
      </c>
      <c r="L82" s="412">
        <v>-0.284496736</v>
      </c>
      <c r="M82" s="412">
        <v>1.421413741</v>
      </c>
      <c r="N82" s="412">
        <v>-1.453152027</v>
      </c>
      <c r="O82" s="412">
        <v>1.061405429</v>
      </c>
    </row>
    <row r="83" spans="1:17" s="20" customFormat="1" ht="12.75" hidden="1">
      <c r="A83" s="407" t="s">
        <v>81</v>
      </c>
      <c r="B83" s="408"/>
      <c r="C83" s="408"/>
      <c r="D83" s="28">
        <f>IF($D$39="Ja",EXP(D77),IMEXP(D77))</f>
        <v>1.3534349954595715E-10</v>
      </c>
      <c r="J83" s="412"/>
      <c r="K83" s="412" t="s">
        <v>272</v>
      </c>
      <c r="L83" s="412" t="s">
        <v>273</v>
      </c>
      <c r="M83" s="412" t="s">
        <v>274</v>
      </c>
      <c r="N83" s="412" t="s">
        <v>275</v>
      </c>
      <c r="O83" s="412" t="s">
        <v>276</v>
      </c>
      <c r="P83" s="20" t="s">
        <v>278</v>
      </c>
      <c r="Q83" s="20" t="s">
        <v>277</v>
      </c>
    </row>
    <row r="84" spans="1:17" s="20" customFormat="1" ht="12.75" hidden="1">
      <c r="A84" s="407" t="s">
        <v>83</v>
      </c>
      <c r="B84" s="408"/>
      <c r="C84" s="408"/>
      <c r="D84" s="28">
        <f>IF($D$39="ja",IF(D78/D51&lt;0,1+_XLL.GAUSSFEHLER(-D78/D51),_XLL.GAUSSFKOMPL(D78/D51)),IMSUB(1,IMSUB(1,_XLL.IMPRODUKT($P84,$Q84))))</f>
        <v>2</v>
      </c>
      <c r="E84" s="137" t="str">
        <f>IMDIV(D78,D51)</f>
        <v>-5,90136845885365</v>
      </c>
      <c r="G84" s="411" t="s">
        <v>59</v>
      </c>
      <c r="H84" s="20" t="str">
        <f>IMDIV(1,_XLL.IMSUMME(1,_XLL.IMPRODUKT($J$82,$E84)))</f>
        <v>-1,07154056470631</v>
      </c>
      <c r="K84" s="20" t="str">
        <f>_XLL.IMPRODUKT($H84,K$82)</f>
        <v>-0,273060244915559</v>
      </c>
      <c r="L84" s="20" t="str">
        <f>_XLL.IMPRODUKT(L$82,_XLL.IMAPOTENZ($H84,2))</f>
        <v>-0,326658919503134+8,0005717671258E-017i</v>
      </c>
      <c r="M84" s="20" t="str">
        <f>_XLL.IMPRODUKT(M$82,_XLL.IMAPOTENZ($H84,3))</f>
        <v>-1,74882502446492+6,42486671004993E-016i</v>
      </c>
      <c r="N84" s="20" t="str">
        <f>_XLL.IMPRODUKT(N$82,_XLL.IMAPOTENZ($H84,4))</f>
        <v>-1,91577948421797+9,38430291558356E-016i</v>
      </c>
      <c r="O84" s="20" t="str">
        <f>_XLL.IMPRODUKT(O$82,_XLL.IMAPOTENZ($H84,5))</f>
        <v>-1,49942375619042+9,18101929451503E-016i</v>
      </c>
      <c r="P84" s="20" t="str">
        <f>_XLL.IMSUMME($K84:$O84)</f>
        <v>-5,763747429292+2,57902460968611E-015i</v>
      </c>
      <c r="Q84" s="20" t="str">
        <f>IMEXP(_XLL.IMPRODUKT(-1,_XLL.IMAPOTENZ($E84,2)))</f>
        <v>7,50231620915462E-016+6,39922427668664E-030i</v>
      </c>
    </row>
    <row r="85" spans="1:17" s="20" customFormat="1" ht="12.75" hidden="1">
      <c r="A85" s="407" t="s">
        <v>84</v>
      </c>
      <c r="B85" s="408"/>
      <c r="C85" s="408"/>
      <c r="D85" s="28">
        <f>IF($D$39="Ja",IF(D80/D51&lt;0,1+_XLL.GAUSSFEHLER(-D80/D51),_XLL.GAUSSFKOMPL(D80/D51)),IMSUB(1,IMSUB(1,_XLL.IMPRODUKT($P85,$Q85))))</f>
        <v>0</v>
      </c>
      <c r="E85" s="137" t="str">
        <f>IMDIV(D80,D51)</f>
        <v>7,01980068385346</v>
      </c>
      <c r="G85" s="411" t="s">
        <v>59</v>
      </c>
      <c r="H85" s="20" t="str">
        <f>IMDIV(1,_XLL.IMSUMME(1,_XLL.IMPRODUKT($J$82,$E85)))</f>
        <v>0,303064813130384</v>
      </c>
      <c r="K85" s="20" t="str">
        <f>_XLL.IMPRODUKT($H85,K$82)</f>
        <v>7,7229882679572E-002</v>
      </c>
      <c r="L85" s="20" t="str">
        <f>_XLL.IMPRODUKT(L$82,_XLL.IMAPOTENZ($H85,2))</f>
        <v>-2,61305361396921E-002</v>
      </c>
      <c r="M85" s="20" t="str">
        <f>_XLL.IMPRODUKT(M$82,_XLL.IMAPOTENZ($H85,3))</f>
        <v>3,95664474580055E-002</v>
      </c>
      <c r="N85" s="20" t="str">
        <f>_XLL.IMPRODUKT(N$82,_XLL.IMAPOTENZ($H85,4))</f>
        <v>-1,22589455727374E-002</v>
      </c>
      <c r="O85" s="20" t="str">
        <f>_XLL.IMPRODUKT(O$82,_XLL.IMAPOTENZ($H85,5))</f>
        <v>2,7136815736048E-003</v>
      </c>
      <c r="P85" s="20" t="str">
        <f>_XLL.IMSUMME($K85:$O85)</f>
        <v>8,11205299987528E-002</v>
      </c>
      <c r="Q85" s="20" t="str">
        <f>IMEXP(_XLL.IMPRODUKT(-1,_XLL.IMAPOTENZ($E85,2)))</f>
        <v>3,9720026161848E-022</v>
      </c>
    </row>
    <row r="86" spans="1:5" s="20" customFormat="1" ht="12.75" hidden="1">
      <c r="A86" s="407" t="s">
        <v>85</v>
      </c>
      <c r="B86" s="408"/>
      <c r="C86" s="408"/>
      <c r="D86" s="28">
        <f>IF(D79/D51&lt;0,1+_XLL.GAUSSFEHLER(-D79/D51),_XLL.GAUSSFKOMPL(D79/D51))</f>
        <v>1.13420384195706E-12</v>
      </c>
      <c r="E86" s="137">
        <f>D79/D51</f>
        <v>5.029759689694186</v>
      </c>
    </row>
    <row r="87" spans="1:5" s="20" customFormat="1" ht="12.75" hidden="1">
      <c r="A87" s="407" t="s">
        <v>279</v>
      </c>
      <c r="B87" s="408"/>
      <c r="C87" s="408"/>
      <c r="D87" s="28">
        <f>IF($D$39="Ja",$D$29/($D$29+$D$74),IMDIV($D$29,_XLL.IMSUMME($D$29,$D$74)))</f>
        <v>0.40897366826572046</v>
      </c>
      <c r="E87" s="139"/>
    </row>
    <row r="88" spans="1:5" s="20" customFormat="1" ht="12.75" hidden="1">
      <c r="A88" s="407" t="s">
        <v>280</v>
      </c>
      <c r="B88" s="408"/>
      <c r="C88" s="408"/>
      <c r="D88" s="28">
        <f>IF($D$39="Ja",$D$29/($D$29-$D$74),IMDIV($D$29,IMSUB($D$29,$D$74)))</f>
        <v>-2.2464580329326025</v>
      </c>
      <c r="E88" s="139"/>
    </row>
    <row r="89" spans="1:5" s="20" customFormat="1" ht="12.75" hidden="1">
      <c r="A89" s="407" t="s">
        <v>281</v>
      </c>
      <c r="B89" s="408"/>
      <c r="C89" s="408"/>
      <c r="D89" s="28">
        <f>$D$29^2/(2*$D$33*($D$38-$D$24*$D$36))</f>
        <v>1.8374843646668821</v>
      </c>
      <c r="E89" s="139"/>
    </row>
    <row r="90" spans="1:5" s="20" customFormat="1" ht="12.75" hidden="1">
      <c r="A90" s="407" t="s">
        <v>282</v>
      </c>
      <c r="B90" s="408"/>
      <c r="C90" s="408"/>
      <c r="D90" s="28">
        <f>EXP(-$D$24*D$45)</f>
        <v>1.721357915274507E-05</v>
      </c>
      <c r="E90" s="139"/>
    </row>
    <row r="91" spans="1:5" s="20" customFormat="1" ht="12.75" hidden="1">
      <c r="A91" s="407" t="s">
        <v>283</v>
      </c>
      <c r="B91" s="408"/>
      <c r="C91" s="408"/>
      <c r="D91" s="28">
        <f>IF($D$39="Ja",D87*D81*D84+D88*D82*D85,_XLL.IMSUMME(_XLL.IMPRODUKT(D87,D81,D84),_XLL.IMPRODUKT(D88,D82,D85)))</f>
        <v>0.0883293089146469</v>
      </c>
      <c r="E91" s="139"/>
    </row>
    <row r="92" spans="1:5" s="20" customFormat="1" ht="12.75" hidden="1">
      <c r="A92" s="407" t="s">
        <v>284</v>
      </c>
      <c r="B92" s="408"/>
      <c r="C92" s="408"/>
      <c r="D92" s="28">
        <f>IF($D$39="Ja",D89*D83*D86,_XLL.IMPRODUKT(D89,D83,D86))</f>
        <v>2.8206692766301103E-22</v>
      </c>
      <c r="E92" s="139"/>
    </row>
    <row r="93" spans="1:4" s="20" customFormat="1" ht="12.75" hidden="1">
      <c r="A93" s="409" t="s">
        <v>86</v>
      </c>
      <c r="B93" s="410"/>
      <c r="C93" s="410"/>
      <c r="D93" s="29">
        <f>IF($D$39="Ja",D90*D91+D92,_XLL.IMSUMME(_XLL.IMPRODUKT(D90,D91),D92))</f>
        <v>1.5204635505095452E-06</v>
      </c>
    </row>
    <row r="94" spans="1:4" s="20" customFormat="1" ht="17.25" customHeight="1" hidden="1">
      <c r="A94" s="407"/>
      <c r="B94" s="408"/>
      <c r="C94" s="408"/>
      <c r="D94" s="28">
        <v>258</v>
      </c>
    </row>
    <row r="95" spans="1:4" ht="25.5" customHeight="1" thickBot="1">
      <c r="A95" s="89" t="s">
        <v>239</v>
      </c>
      <c r="B95" s="90"/>
      <c r="C95" s="90"/>
      <c r="D95" s="406"/>
    </row>
    <row r="96" spans="1:4" ht="18" hidden="1">
      <c r="A96" s="91" t="s">
        <v>57</v>
      </c>
      <c r="B96" s="92"/>
      <c r="C96" s="93" t="s">
        <v>90</v>
      </c>
      <c r="D96" s="136">
        <f>ABS(IF($D$38=$D$24*$D$36,($D$22-$D$21)*D55+$D$23*D71+$D$21*EXP(-$D$24*$D$45),$D$22*D55+$D$23*D71+$D$21*_XLL.IMREALTEIL(D93)))</f>
        <v>0.0011403476628821588</v>
      </c>
    </row>
    <row r="97" spans="1:4" ht="21">
      <c r="A97" s="72" t="s">
        <v>95</v>
      </c>
      <c r="B97" s="73" t="s">
        <v>222</v>
      </c>
      <c r="C97" s="74" t="s">
        <v>90</v>
      </c>
      <c r="D97" s="24">
        <v>14.53027631554725</v>
      </c>
    </row>
    <row r="98" spans="1:4" ht="21">
      <c r="A98" s="72" t="s">
        <v>232</v>
      </c>
      <c r="B98" s="73" t="s">
        <v>223</v>
      </c>
      <c r="C98" s="73" t="s">
        <v>15</v>
      </c>
      <c r="D98" s="24">
        <v>144</v>
      </c>
    </row>
    <row r="99" spans="1:4" ht="21">
      <c r="A99" s="72" t="s">
        <v>61</v>
      </c>
      <c r="B99" s="73" t="s">
        <v>224</v>
      </c>
      <c r="C99" s="73" t="s">
        <v>15</v>
      </c>
      <c r="D99" s="174">
        <v>45</v>
      </c>
    </row>
    <row r="100" spans="1:4" ht="21">
      <c r="A100" s="72" t="s">
        <v>62</v>
      </c>
      <c r="B100" s="73" t="s">
        <v>225</v>
      </c>
      <c r="C100" s="73" t="s">
        <v>15</v>
      </c>
      <c r="D100" s="174">
        <v>683</v>
      </c>
    </row>
    <row r="101" spans="1:4" ht="21">
      <c r="A101" s="72" t="s">
        <v>244</v>
      </c>
      <c r="B101" s="73" t="s">
        <v>238</v>
      </c>
      <c r="C101" s="73" t="s">
        <v>233</v>
      </c>
      <c r="D101" s="178">
        <v>3.9958259867754937</v>
      </c>
    </row>
    <row r="102" spans="1:4" ht="21">
      <c r="A102" s="72" t="s">
        <v>94</v>
      </c>
      <c r="B102" s="76" t="s">
        <v>226</v>
      </c>
      <c r="C102" s="76" t="s">
        <v>15</v>
      </c>
      <c r="D102" s="174">
        <v>638</v>
      </c>
    </row>
    <row r="103" spans="1:4" ht="21">
      <c r="A103" s="72" t="s">
        <v>230</v>
      </c>
      <c r="B103" s="73" t="s">
        <v>237</v>
      </c>
      <c r="C103" s="73" t="s">
        <v>12</v>
      </c>
      <c r="D103" s="174">
        <v>0.8115699002530213</v>
      </c>
    </row>
    <row r="104" spans="1:4" ht="21">
      <c r="A104" s="72" t="s">
        <v>243</v>
      </c>
      <c r="B104" s="73" t="s">
        <v>240</v>
      </c>
      <c r="C104" s="73" t="s">
        <v>233</v>
      </c>
      <c r="D104" s="174">
        <v>1.2720531351928235</v>
      </c>
    </row>
    <row r="105" spans="1:4" ht="23.25" thickBot="1">
      <c r="A105" s="77" t="s">
        <v>241</v>
      </c>
      <c r="B105" s="78" t="s">
        <v>242</v>
      </c>
      <c r="C105" s="79" t="s">
        <v>245</v>
      </c>
      <c r="D105" s="179">
        <v>3.6325690788868124</v>
      </c>
    </row>
  </sheetData>
  <sheetProtection password="9C67" sheet="1" objects="1" scenarios="1" selectLockedCells="1"/>
  <conditionalFormatting sqref="D39">
    <cfRule type="cellIs" priority="1" dxfId="0" operator="equal" stopIfTrue="1">
      <formula>"Nein"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D452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2" max="2" width="16.57421875" style="4" customWidth="1"/>
    <col min="3" max="3" width="18.57421875" style="7" customWidth="1"/>
    <col min="4" max="4" width="12.8515625" style="4" customWidth="1"/>
  </cols>
  <sheetData>
    <row r="1" ht="18">
      <c r="A1" s="2" t="s">
        <v>234</v>
      </c>
    </row>
    <row r="2" spans="1:4" ht="12.75">
      <c r="A2" s="8"/>
      <c r="B2" s="9"/>
      <c r="C2" s="18"/>
      <c r="D2" s="9"/>
    </row>
    <row r="3" spans="1:4" ht="12.75">
      <c r="A3" s="175" t="s">
        <v>129</v>
      </c>
      <c r="B3" s="176" t="s">
        <v>1151</v>
      </c>
      <c r="C3" s="177" t="s">
        <v>1152</v>
      </c>
      <c r="D3" s="176"/>
    </row>
    <row r="4" spans="1:4" ht="12.75">
      <c r="A4" s="8"/>
      <c r="B4" s="9" t="s">
        <v>235</v>
      </c>
      <c r="C4" s="18" t="s">
        <v>236</v>
      </c>
      <c r="D4" s="9"/>
    </row>
    <row r="5" spans="1:3" ht="12.75">
      <c r="A5">
        <v>1</v>
      </c>
      <c r="B5" s="4">
        <v>0</v>
      </c>
      <c r="C5" s="7">
        <v>0</v>
      </c>
    </row>
    <row r="6" spans="1:3" ht="12.75">
      <c r="A6">
        <v>2</v>
      </c>
      <c r="B6" s="4">
        <v>0</v>
      </c>
      <c r="C6" s="7">
        <v>0</v>
      </c>
    </row>
    <row r="7" spans="1:3" ht="12.75">
      <c r="A7">
        <v>3</v>
      </c>
      <c r="B7" s="4">
        <v>0</v>
      </c>
      <c r="C7" s="7">
        <v>0</v>
      </c>
    </row>
    <row r="8" spans="1:3" ht="12.75">
      <c r="A8">
        <v>4</v>
      </c>
      <c r="B8" s="4">
        <v>1.3433670328193782E-12</v>
      </c>
      <c r="C8" s="7">
        <v>5.709309889482357E-13</v>
      </c>
    </row>
    <row r="9" spans="1:3" ht="12.75">
      <c r="A9">
        <v>9</v>
      </c>
      <c r="B9" s="4">
        <v>0.0017735943500518658</v>
      </c>
      <c r="C9" s="7">
        <v>0.000753777598772043</v>
      </c>
    </row>
    <row r="10" spans="1:3" ht="12.75">
      <c r="A10">
        <v>10</v>
      </c>
      <c r="B10" s="4">
        <v>0.0025935984355740516</v>
      </c>
      <c r="C10" s="7">
        <v>0.001102279335118972</v>
      </c>
    </row>
    <row r="11" spans="1:3" ht="12.75">
      <c r="A11">
        <v>11</v>
      </c>
      <c r="B11" s="4">
        <v>0.005811477578987478</v>
      </c>
      <c r="C11" s="7">
        <v>0.0024698779710696783</v>
      </c>
    </row>
    <row r="12" spans="1:3" ht="12.75">
      <c r="A12">
        <v>12</v>
      </c>
      <c r="B12" s="4">
        <v>0.018346318771023107</v>
      </c>
      <c r="C12" s="7">
        <v>0.00779718547768482</v>
      </c>
    </row>
    <row r="13" spans="1:3" ht="12.75">
      <c r="A13">
        <v>13</v>
      </c>
      <c r="B13" s="4">
        <v>0.04919184762570694</v>
      </c>
      <c r="C13" s="7">
        <v>0.02090653524092545</v>
      </c>
    </row>
    <row r="14" spans="1:3" ht="12.75">
      <c r="A14">
        <v>14</v>
      </c>
      <c r="B14" s="4">
        <v>0.11464660844922037</v>
      </c>
      <c r="C14" s="7">
        <v>0.048724808590918656</v>
      </c>
    </row>
    <row r="15" spans="1:3" ht="12.75">
      <c r="A15">
        <v>15</v>
      </c>
      <c r="B15" s="4">
        <v>0.2375878872726389</v>
      </c>
      <c r="C15" s="7">
        <v>0.10097485209087154</v>
      </c>
    </row>
    <row r="16" spans="1:3" ht="12.75">
      <c r="A16">
        <v>16</v>
      </c>
      <c r="B16" s="4">
        <v>0.44738954966305755</v>
      </c>
      <c r="C16" s="7">
        <v>0.19014055860679946</v>
      </c>
    </row>
    <row r="17" spans="1:3" ht="12.75">
      <c r="A17">
        <v>17</v>
      </c>
      <c r="B17" s="4">
        <v>0.7817522052391723</v>
      </c>
      <c r="C17" s="7">
        <v>0.33224468722664824</v>
      </c>
    </row>
    <row r="18" spans="1:3" ht="12.75">
      <c r="A18">
        <v>18</v>
      </c>
      <c r="B18" s="4">
        <v>1.2769312892487505</v>
      </c>
      <c r="C18" s="7">
        <v>0.542695797930719</v>
      </c>
    </row>
    <row r="19" spans="1:3" ht="12.75">
      <c r="A19">
        <v>19</v>
      </c>
      <c r="B19" s="4">
        <v>1.9892757492016244</v>
      </c>
      <c r="C19" s="7">
        <v>0.8454421934106904</v>
      </c>
    </row>
    <row r="20" spans="1:3" ht="12.75">
      <c r="A20">
        <v>20</v>
      </c>
      <c r="B20" s="4">
        <v>2.9545866398621</v>
      </c>
      <c r="C20" s="7">
        <v>1.2556993219413926</v>
      </c>
    </row>
    <row r="21" spans="1:3" ht="12.75">
      <c r="A21">
        <v>21</v>
      </c>
      <c r="B21" s="4">
        <v>4.224660424551985</v>
      </c>
      <c r="C21" s="7">
        <v>1.7954806804345935</v>
      </c>
    </row>
    <row r="22" spans="1:3" ht="12.75">
      <c r="A22">
        <v>22</v>
      </c>
      <c r="B22" s="4">
        <v>5.843440059834393</v>
      </c>
      <c r="C22" s="7">
        <v>2.483462025429617</v>
      </c>
    </row>
    <row r="23" spans="1:3" ht="12.75">
      <c r="A23">
        <v>23</v>
      </c>
      <c r="B23" s="4">
        <v>7.85076863503491</v>
      </c>
      <c r="C23" s="7">
        <v>3.336576669889837</v>
      </c>
    </row>
    <row r="24" spans="1:3" ht="12.75">
      <c r="A24">
        <v>24</v>
      </c>
      <c r="B24" s="4">
        <v>10.275546799311996</v>
      </c>
      <c r="C24" s="7">
        <v>4.3671073897075985</v>
      </c>
    </row>
    <row r="25" spans="1:3" ht="12.75">
      <c r="A25">
        <v>25</v>
      </c>
      <c r="B25" s="4">
        <v>13.15063121219282</v>
      </c>
      <c r="C25" s="7">
        <v>5.589018265181949</v>
      </c>
    </row>
    <row r="26" spans="1:3" ht="12.75">
      <c r="A26">
        <v>26</v>
      </c>
      <c r="B26" s="4">
        <v>16.50097679303144</v>
      </c>
      <c r="C26" s="7">
        <v>7.0129151370383624</v>
      </c>
    </row>
    <row r="27" spans="1:3" ht="12.75">
      <c r="A27">
        <v>27</v>
      </c>
      <c r="B27" s="4">
        <v>20.33386736366083</v>
      </c>
      <c r="C27" s="7">
        <v>8.641893629555852</v>
      </c>
    </row>
    <row r="28" spans="1:3" ht="12.75">
      <c r="A28">
        <v>28</v>
      </c>
      <c r="B28" s="4">
        <v>24.659971556684468</v>
      </c>
      <c r="C28" s="7">
        <v>10.480487911590899</v>
      </c>
    </row>
    <row r="29" spans="1:3" ht="12.75">
      <c r="A29">
        <v>29</v>
      </c>
      <c r="B29" s="4">
        <v>29.482463277236093</v>
      </c>
      <c r="C29" s="7">
        <v>12.53004689282534</v>
      </c>
    </row>
    <row r="30" spans="1:3" ht="12.75">
      <c r="A30">
        <v>30</v>
      </c>
      <c r="B30" s="4">
        <v>34.78975631733192</v>
      </c>
      <c r="C30" s="7">
        <v>14.785646434866067</v>
      </c>
    </row>
    <row r="31" spans="1:3" ht="12.75">
      <c r="A31">
        <v>31</v>
      </c>
      <c r="B31" s="4">
        <v>40.58025612903293</v>
      </c>
      <c r="C31" s="7">
        <v>17.246608854838996</v>
      </c>
    </row>
    <row r="32" spans="1:3" ht="12.75">
      <c r="A32">
        <v>32</v>
      </c>
      <c r="B32" s="4">
        <v>46.83149683405645</v>
      </c>
      <c r="C32" s="7">
        <v>19.903386154473992</v>
      </c>
    </row>
    <row r="33" spans="1:3" ht="12.75">
      <c r="A33">
        <v>33</v>
      </c>
      <c r="B33" s="4">
        <v>53.52613918221323</v>
      </c>
      <c r="C33" s="7">
        <v>22.748609152440622</v>
      </c>
    </row>
    <row r="34" spans="1:3" ht="12.75">
      <c r="A34">
        <v>34</v>
      </c>
      <c r="B34" s="4">
        <v>60.643672723381314</v>
      </c>
      <c r="C34" s="7">
        <v>25.77356090743706</v>
      </c>
    </row>
    <row r="35" spans="1:3" ht="12.75">
      <c r="A35">
        <v>35</v>
      </c>
      <c r="B35" s="4">
        <v>68.15284663898638</v>
      </c>
      <c r="C35" s="7">
        <v>28.96495982156921</v>
      </c>
    </row>
    <row r="36" spans="1:3" ht="12.75">
      <c r="A36">
        <v>36</v>
      </c>
      <c r="B36" s="4">
        <v>76.02942860248731</v>
      </c>
      <c r="C36" s="7">
        <v>32.31250715605711</v>
      </c>
    </row>
    <row r="37" spans="1:3" ht="12.75">
      <c r="A37">
        <v>37</v>
      </c>
      <c r="B37" s="4">
        <v>84.23951967561152</v>
      </c>
      <c r="C37" s="7">
        <v>35.801795862134895</v>
      </c>
    </row>
    <row r="38" spans="1:3" ht="12.75">
      <c r="A38">
        <v>38</v>
      </c>
      <c r="B38" s="4">
        <v>92.75192873028573</v>
      </c>
      <c r="C38" s="7">
        <v>39.419569710371434</v>
      </c>
    </row>
    <row r="39" spans="1:3" ht="12.75">
      <c r="A39">
        <v>39</v>
      </c>
      <c r="B39" s="4">
        <v>101.53636729519349</v>
      </c>
      <c r="C39" s="7">
        <v>43.15295610045723</v>
      </c>
    </row>
    <row r="40" spans="1:3" ht="12.75">
      <c r="A40">
        <v>40</v>
      </c>
      <c r="B40" s="4">
        <v>110.55933640163857</v>
      </c>
      <c r="C40" s="7">
        <v>46.987717970696394</v>
      </c>
    </row>
    <row r="41" spans="1:3" ht="12.75">
      <c r="A41">
        <v>41</v>
      </c>
      <c r="B41" s="4">
        <v>119.79064978368115</v>
      </c>
      <c r="C41" s="7">
        <v>50.91102615806449</v>
      </c>
    </row>
    <row r="42" spans="1:3" ht="12.75">
      <c r="A42">
        <v>42</v>
      </c>
      <c r="B42" s="4">
        <v>129.19632070406806</v>
      </c>
      <c r="C42" s="7">
        <v>54.908436299228924</v>
      </c>
    </row>
    <row r="43" spans="1:3" ht="12.75">
      <c r="A43">
        <v>43</v>
      </c>
      <c r="B43" s="4">
        <v>138.74582124117296</v>
      </c>
      <c r="C43" s="7">
        <v>58.96697402749851</v>
      </c>
    </row>
    <row r="44" spans="1:3" ht="12.75">
      <c r="A44">
        <v>44</v>
      </c>
      <c r="B44" s="4">
        <v>148.4125431976281</v>
      </c>
      <c r="C44" s="7">
        <v>63.07533085899195</v>
      </c>
    </row>
    <row r="45" spans="1:3" ht="12.75">
      <c r="A45">
        <v>45</v>
      </c>
      <c r="B45" s="4">
        <v>158.16391460830346</v>
      </c>
      <c r="C45" s="7">
        <v>67.21966370852897</v>
      </c>
    </row>
    <row r="46" spans="1:3" ht="12.75">
      <c r="A46">
        <v>46</v>
      </c>
      <c r="B46" s="4">
        <v>167.96923275396693</v>
      </c>
      <c r="C46" s="7">
        <v>71.38692392043595</v>
      </c>
    </row>
    <row r="47" spans="1:3" ht="12.75">
      <c r="A47">
        <v>47</v>
      </c>
      <c r="B47" s="4">
        <v>177.81112656230107</v>
      </c>
      <c r="C47" s="7">
        <v>75.56972878897795</v>
      </c>
    </row>
    <row r="48" spans="1:3" ht="12.75">
      <c r="A48">
        <v>48</v>
      </c>
      <c r="B48" s="4">
        <v>187.6584198238561</v>
      </c>
      <c r="C48" s="7">
        <v>79.75482842513884</v>
      </c>
    </row>
    <row r="49" spans="1:3" ht="12.75">
      <c r="A49">
        <v>49</v>
      </c>
      <c r="B49" s="4">
        <v>197.48825547867455</v>
      </c>
      <c r="C49" s="7">
        <v>83.93250857843668</v>
      </c>
    </row>
    <row r="50" spans="1:3" ht="12.75">
      <c r="A50">
        <v>50</v>
      </c>
      <c r="B50" s="4">
        <v>207.28363349917345</v>
      </c>
      <c r="C50" s="7">
        <v>88.09554423714872</v>
      </c>
    </row>
    <row r="51" spans="1:3" ht="12.75">
      <c r="A51">
        <v>51</v>
      </c>
      <c r="B51" s="4">
        <v>217.02040607633535</v>
      </c>
      <c r="C51" s="7">
        <v>92.23367258244252</v>
      </c>
    </row>
    <row r="52" spans="1:3" ht="12.75">
      <c r="A52">
        <v>52</v>
      </c>
      <c r="B52" s="4">
        <v>226.68589570967015</v>
      </c>
      <c r="C52" s="7">
        <v>96.34150567660981</v>
      </c>
    </row>
    <row r="53" spans="1:3" ht="12.75">
      <c r="A53">
        <v>53</v>
      </c>
      <c r="B53" s="4">
        <v>236.25178617949132</v>
      </c>
      <c r="C53" s="7">
        <v>100.40700912628381</v>
      </c>
    </row>
    <row r="54" spans="1:3" ht="12.75">
      <c r="A54">
        <v>54</v>
      </c>
      <c r="B54" s="4">
        <v>245.7172847498441</v>
      </c>
      <c r="C54" s="7">
        <v>104.42984601868375</v>
      </c>
    </row>
    <row r="55" spans="1:3" ht="12.75">
      <c r="A55">
        <v>55</v>
      </c>
      <c r="B55" s="4">
        <v>255.05732842138968</v>
      </c>
      <c r="C55" s="7">
        <v>108.39936457909062</v>
      </c>
    </row>
    <row r="56" spans="1:3" ht="12.75">
      <c r="A56">
        <v>56</v>
      </c>
      <c r="B56" s="4">
        <v>264.2621364677325</v>
      </c>
      <c r="C56" s="7">
        <v>112.31140799878631</v>
      </c>
    </row>
    <row r="57" spans="1:3" ht="12.75">
      <c r="A57">
        <v>57</v>
      </c>
      <c r="B57" s="4">
        <v>273.32749828347005</v>
      </c>
      <c r="C57" s="7">
        <v>116.16418677047477</v>
      </c>
    </row>
    <row r="58" spans="1:3" ht="12.75">
      <c r="A58">
        <v>58</v>
      </c>
      <c r="B58" s="4">
        <v>282.23094386048615</v>
      </c>
      <c r="C58" s="7">
        <v>119.94815114070661</v>
      </c>
    </row>
    <row r="59" spans="1:3" ht="12.75">
      <c r="A59">
        <v>59</v>
      </c>
      <c r="B59" s="4">
        <v>290.9781671507517</v>
      </c>
      <c r="C59" s="7">
        <v>123.66572103906947</v>
      </c>
    </row>
    <row r="60" spans="1:3" ht="12.75">
      <c r="A60">
        <v>60</v>
      </c>
      <c r="B60" s="4">
        <v>299.5544766396051</v>
      </c>
      <c r="C60" s="7">
        <v>127.31065257183218</v>
      </c>
    </row>
    <row r="61" spans="1:3" ht="12.75">
      <c r="A61">
        <v>61</v>
      </c>
      <c r="B61" s="4">
        <v>307.95353155990597</v>
      </c>
      <c r="C61" s="7">
        <v>130.88025091296004</v>
      </c>
    </row>
    <row r="62" spans="1:3" ht="12.75">
      <c r="A62">
        <v>62</v>
      </c>
      <c r="B62" s="4">
        <v>316.17086999467574</v>
      </c>
      <c r="C62" s="7">
        <v>134.3726197477372</v>
      </c>
    </row>
    <row r="63" spans="1:3" ht="12.75">
      <c r="A63">
        <v>63</v>
      </c>
      <c r="B63" s="4">
        <v>324.1973852767842</v>
      </c>
      <c r="C63" s="7">
        <v>137.78388874263328</v>
      </c>
    </row>
    <row r="64" spans="1:3" ht="12.75">
      <c r="A64">
        <v>64</v>
      </c>
      <c r="B64" s="4">
        <v>332.04087520425674</v>
      </c>
      <c r="C64" s="7">
        <v>141.1173719618091</v>
      </c>
    </row>
    <row r="65" spans="1:3" ht="12.75">
      <c r="A65">
        <v>65</v>
      </c>
      <c r="B65" s="4">
        <v>339.69130229670554</v>
      </c>
      <c r="C65" s="7">
        <v>144.36880347609986</v>
      </c>
    </row>
    <row r="66" spans="1:3" ht="12.75">
      <c r="A66">
        <v>66</v>
      </c>
      <c r="B66" s="4">
        <v>347.14576427359134</v>
      </c>
      <c r="C66" s="7">
        <v>147.53694981627632</v>
      </c>
    </row>
    <row r="67" spans="1:3" ht="12.75">
      <c r="A67">
        <v>67</v>
      </c>
      <c r="B67" s="4">
        <v>354.4053057907149</v>
      </c>
      <c r="C67" s="7">
        <v>150.62225496105384</v>
      </c>
    </row>
    <row r="68" spans="1:3" ht="12.75">
      <c r="A68">
        <v>68</v>
      </c>
      <c r="B68" s="4">
        <v>361.4716875337763</v>
      </c>
      <c r="C68" s="7">
        <v>153.62546720185492</v>
      </c>
    </row>
    <row r="69" spans="1:3" ht="12.75">
      <c r="A69">
        <v>69</v>
      </c>
      <c r="B69" s="4">
        <v>368.3441218890948</v>
      </c>
      <c r="C69" s="7">
        <v>156.5462518028653</v>
      </c>
    </row>
    <row r="70" spans="1:3" ht="12.75">
      <c r="A70">
        <v>70</v>
      </c>
      <c r="B70" s="4">
        <v>375.01597291848157</v>
      </c>
      <c r="C70" s="7">
        <v>159.38178849035467</v>
      </c>
    </row>
    <row r="71" spans="1:3" ht="12.75">
      <c r="A71">
        <v>71</v>
      </c>
      <c r="B71" s="4">
        <v>381.499547814019</v>
      </c>
      <c r="C71" s="7">
        <v>162.13730782095809</v>
      </c>
    </row>
    <row r="72" spans="1:3" ht="12.75">
      <c r="A72">
        <v>72</v>
      </c>
      <c r="B72" s="4">
        <v>387.7875878009945</v>
      </c>
      <c r="C72" s="7">
        <v>164.80972481542267</v>
      </c>
    </row>
    <row r="73" spans="1:3" ht="12.75">
      <c r="A73">
        <v>73</v>
      </c>
      <c r="B73" s="4">
        <v>393.88503289665096</v>
      </c>
      <c r="C73" s="7">
        <v>167.40113898107666</v>
      </c>
    </row>
    <row r="74" spans="1:3" ht="12.75">
      <c r="A74">
        <v>74</v>
      </c>
      <c r="B74" s="4">
        <v>399.7950715565821</v>
      </c>
      <c r="C74" s="7">
        <v>169.9129054115474</v>
      </c>
    </row>
    <row r="75" spans="1:3" ht="12.75">
      <c r="A75">
        <v>75</v>
      </c>
      <c r="B75" s="4">
        <v>405.5192205822095</v>
      </c>
      <c r="C75" s="7">
        <v>172.34566874743905</v>
      </c>
    </row>
    <row r="76" spans="1:3" ht="12.75">
      <c r="A76">
        <v>76</v>
      </c>
      <c r="B76" s="4">
        <v>411.064427474048</v>
      </c>
      <c r="C76" s="7">
        <v>174.7023816764704</v>
      </c>
    </row>
    <row r="77" spans="1:3" ht="12.75">
      <c r="A77">
        <v>77</v>
      </c>
      <c r="B77" s="4">
        <v>416.42553989659064</v>
      </c>
      <c r="C77" s="7">
        <v>176.98085445605102</v>
      </c>
    </row>
    <row r="78" spans="1:3" ht="12.75">
      <c r="A78">
        <v>78</v>
      </c>
      <c r="B78" s="4">
        <v>421.60994468140416</v>
      </c>
      <c r="C78" s="7">
        <v>179.18422648959677</v>
      </c>
    </row>
    <row r="79" spans="1:3" ht="12.75">
      <c r="A79">
        <v>79</v>
      </c>
      <c r="B79" s="4">
        <v>426.62352780171204</v>
      </c>
      <c r="C79" s="7">
        <v>181.31499931572762</v>
      </c>
    </row>
    <row r="80" spans="1:3" ht="12.75">
      <c r="A80">
        <v>80</v>
      </c>
      <c r="B80" s="4">
        <v>431.4706780220149</v>
      </c>
      <c r="C80" s="7">
        <v>183.37503815935634</v>
      </c>
    </row>
    <row r="81" spans="1:3" ht="12.75">
      <c r="A81">
        <v>81</v>
      </c>
      <c r="B81" s="4">
        <v>436.1437413521344</v>
      </c>
      <c r="C81" s="7">
        <v>185.3610900746571</v>
      </c>
    </row>
    <row r="82" spans="1:3" ht="12.75">
      <c r="A82">
        <v>82</v>
      </c>
      <c r="B82" s="4">
        <v>440.66166412376333</v>
      </c>
      <c r="C82" s="7">
        <v>187.28120725259942</v>
      </c>
    </row>
    <row r="83" spans="1:3" ht="12.75">
      <c r="A83">
        <v>83</v>
      </c>
      <c r="B83" s="4">
        <v>445.0207697285805</v>
      </c>
      <c r="C83" s="7">
        <v>189.1338271346467</v>
      </c>
    </row>
    <row r="84" spans="1:3" ht="12.75">
      <c r="A84">
        <v>84</v>
      </c>
      <c r="B84" s="4">
        <v>449.22284283093177</v>
      </c>
      <c r="C84" s="7">
        <v>190.919708203146</v>
      </c>
    </row>
    <row r="85" spans="1:3" ht="12.75">
      <c r="A85">
        <v>85</v>
      </c>
      <c r="B85" s="4">
        <v>453.27861008117907</v>
      </c>
      <c r="C85" s="7">
        <v>192.6434092845011</v>
      </c>
    </row>
    <row r="86" spans="1:3" ht="12.75">
      <c r="A86">
        <v>86</v>
      </c>
      <c r="B86" s="4">
        <v>457.1830928849522</v>
      </c>
      <c r="C86" s="7">
        <v>194.3028144761047</v>
      </c>
    </row>
    <row r="87" spans="1:3" ht="12.75">
      <c r="A87">
        <v>87</v>
      </c>
      <c r="B87" s="4">
        <v>460.9471964358818</v>
      </c>
      <c r="C87" s="7">
        <v>195.90255848524976</v>
      </c>
    </row>
    <row r="88" spans="1:3" ht="12.75">
      <c r="A88">
        <v>88</v>
      </c>
      <c r="B88" s="4">
        <v>464.57305499352515</v>
      </c>
      <c r="C88" s="7">
        <v>197.4435483722482</v>
      </c>
    </row>
    <row r="89" spans="1:3" ht="12.75">
      <c r="A89">
        <v>89</v>
      </c>
      <c r="B89" s="4">
        <v>468.0679773708107</v>
      </c>
      <c r="C89" s="7">
        <v>198.92889038259455</v>
      </c>
    </row>
    <row r="90" spans="1:3" ht="12.75">
      <c r="A90">
        <v>90</v>
      </c>
      <c r="B90" s="4">
        <v>471.42705617297906</v>
      </c>
      <c r="C90" s="7">
        <v>200.3564988735161</v>
      </c>
    </row>
    <row r="91" spans="1:3" ht="12.75">
      <c r="A91">
        <v>91</v>
      </c>
      <c r="B91" s="4">
        <v>474.6644159749849</v>
      </c>
      <c r="C91" s="7">
        <v>201.73237678936857</v>
      </c>
    </row>
    <row r="92" spans="1:3" ht="12.75">
      <c r="A92">
        <v>92</v>
      </c>
      <c r="B92" s="4">
        <v>477.7781741009676</v>
      </c>
      <c r="C92" s="7">
        <v>203.05572399291123</v>
      </c>
    </row>
    <row r="93" spans="1:3" ht="12.75">
      <c r="A93">
        <v>93</v>
      </c>
      <c r="B93" s="4">
        <v>480.771489617473</v>
      </c>
      <c r="C93" s="7">
        <v>204.32788308742602</v>
      </c>
    </row>
    <row r="94" spans="1:3" ht="12.75">
      <c r="A94">
        <v>94</v>
      </c>
      <c r="B94" s="4">
        <v>483.648905485461</v>
      </c>
      <c r="C94" s="7">
        <v>205.55078483132093</v>
      </c>
    </row>
    <row r="95" spans="1:3" ht="12.75">
      <c r="A95">
        <v>95</v>
      </c>
      <c r="B95" s="4">
        <v>486.416384880431</v>
      </c>
      <c r="C95" s="7">
        <v>206.72696357418317</v>
      </c>
    </row>
    <row r="96" spans="1:3" ht="12.75">
      <c r="A96">
        <v>96</v>
      </c>
      <c r="B96" s="4">
        <v>489.07767136843177</v>
      </c>
      <c r="C96" s="7">
        <v>207.8580103315835</v>
      </c>
    </row>
    <row r="97" spans="1:3" ht="12.75">
      <c r="A97">
        <v>97</v>
      </c>
      <c r="B97" s="4">
        <v>491.63424618309364</v>
      </c>
      <c r="C97" s="7">
        <v>208.9445546278148</v>
      </c>
    </row>
    <row r="98" spans="1:3" ht="12.75">
      <c r="A98">
        <v>98</v>
      </c>
      <c r="B98" s="4">
        <v>494.0887982302229</v>
      </c>
      <c r="C98" s="7">
        <v>209.98773924784473</v>
      </c>
    </row>
    <row r="99" spans="1:3" ht="12.75">
      <c r="A99">
        <v>99</v>
      </c>
      <c r="B99" s="4">
        <v>496.44862902350724</v>
      </c>
      <c r="C99" s="7">
        <v>210.99066733499058</v>
      </c>
    </row>
    <row r="100" spans="1:3" ht="12.75">
      <c r="A100">
        <v>100</v>
      </c>
      <c r="B100" s="4">
        <v>498.7116146439803</v>
      </c>
      <c r="C100" s="7">
        <v>211.95243622369162</v>
      </c>
    </row>
    <row r="101" spans="1:3" ht="12.75">
      <c r="A101">
        <v>101</v>
      </c>
      <c r="B101" s="4">
        <v>500.8871831334545</v>
      </c>
      <c r="C101" s="7">
        <v>212.87705283171817</v>
      </c>
    </row>
    <row r="102" spans="1:3" ht="12.75">
      <c r="A102">
        <v>102</v>
      </c>
      <c r="B102" s="4">
        <v>502.9752008646028</v>
      </c>
      <c r="C102" s="7">
        <v>213.7644603674562</v>
      </c>
    </row>
    <row r="103" spans="1:3" ht="12.75">
      <c r="A103">
        <v>103</v>
      </c>
      <c r="B103" s="4">
        <v>504.9764222363592</v>
      </c>
      <c r="C103" s="7">
        <v>214.61497945045267</v>
      </c>
    </row>
    <row r="104" spans="1:3" ht="12.75">
      <c r="A104">
        <v>104</v>
      </c>
      <c r="B104" s="4">
        <v>506.89953416149365</v>
      </c>
      <c r="C104" s="7">
        <v>215.4323020186348</v>
      </c>
    </row>
    <row r="105" spans="1:3" ht="12.75">
      <c r="A105">
        <v>105</v>
      </c>
      <c r="B105" s="4">
        <v>508.7469749705633</v>
      </c>
      <c r="C105" s="7">
        <v>216.2174643624894</v>
      </c>
    </row>
    <row r="106" spans="1:3" ht="12.75">
      <c r="A106">
        <v>106</v>
      </c>
      <c r="B106" s="4">
        <v>510.5114386678906</v>
      </c>
      <c r="C106" s="7">
        <v>216.9673614338535</v>
      </c>
    </row>
    <row r="107" spans="1:3" ht="12.75">
      <c r="A107">
        <v>107</v>
      </c>
      <c r="B107" s="4">
        <v>512.2109151285258</v>
      </c>
      <c r="C107" s="7">
        <v>217.68963892962347</v>
      </c>
    </row>
    <row r="108" spans="1:3" ht="12.75">
      <c r="A108">
        <v>108</v>
      </c>
      <c r="B108" s="4">
        <v>513.8359808246605</v>
      </c>
      <c r="C108" s="7">
        <v>218.38029185048072</v>
      </c>
    </row>
    <row r="109" spans="1:3" ht="12.75">
      <c r="A109">
        <v>109</v>
      </c>
      <c r="B109" s="4">
        <v>515.395397854445</v>
      </c>
      <c r="C109" s="7">
        <v>219.04304408813914</v>
      </c>
    </row>
    <row r="110" spans="1:3" ht="12.75">
      <c r="A110">
        <v>110</v>
      </c>
      <c r="B110" s="4">
        <v>516.8914933310589</v>
      </c>
      <c r="C110" s="7">
        <v>219.67888466570002</v>
      </c>
    </row>
    <row r="111" spans="1:3" ht="12.75">
      <c r="A111">
        <v>111</v>
      </c>
      <c r="B111" s="4">
        <v>518.3236495722667</v>
      </c>
      <c r="C111" s="7">
        <v>220.28755106821336</v>
      </c>
    </row>
    <row r="112" spans="1:3" ht="12.75">
      <c r="A112">
        <v>112</v>
      </c>
      <c r="B112" s="4">
        <v>519.6987743249338</v>
      </c>
      <c r="C112" s="7">
        <v>220.87197908809685</v>
      </c>
    </row>
    <row r="113" spans="1:3" ht="12.75">
      <c r="A113">
        <v>113</v>
      </c>
      <c r="B113" s="4">
        <v>521.0137101632426</v>
      </c>
      <c r="C113" s="7">
        <v>221.43082681937813</v>
      </c>
    </row>
    <row r="114" spans="1:3" ht="12.75">
      <c r="A114">
        <v>114</v>
      </c>
      <c r="B114" s="4">
        <v>522.2763037229015</v>
      </c>
      <c r="C114" s="7">
        <v>221.96742908223314</v>
      </c>
    </row>
    <row r="115" spans="1:3" ht="12.75">
      <c r="A115">
        <v>115</v>
      </c>
      <c r="B115" s="4">
        <v>523.4842493242468</v>
      </c>
      <c r="C115" s="7">
        <v>222.48080596280488</v>
      </c>
    </row>
    <row r="116" spans="1:3" ht="12.75">
      <c r="A116">
        <v>116</v>
      </c>
      <c r="B116" s="4">
        <v>524.6426562436682</v>
      </c>
      <c r="C116" s="7">
        <v>222.97312890355897</v>
      </c>
    </row>
    <row r="117" spans="1:3" ht="12.75">
      <c r="A117">
        <v>117</v>
      </c>
      <c r="B117" s="4">
        <v>525.7499478211685</v>
      </c>
      <c r="C117" s="7">
        <v>223.4437278239966</v>
      </c>
    </row>
    <row r="118" spans="1:3" ht="12.75">
      <c r="A118">
        <v>118</v>
      </c>
      <c r="B118" s="4">
        <v>526.8119091371773</v>
      </c>
      <c r="C118" s="7">
        <v>223.89506138330034</v>
      </c>
    </row>
    <row r="119" spans="1:3" ht="12.75">
      <c r="A119">
        <v>119</v>
      </c>
      <c r="B119" s="4">
        <v>527.8275750111789</v>
      </c>
      <c r="C119" s="7">
        <v>224.326719379751</v>
      </c>
    </row>
    <row r="120" spans="1:3" ht="12.75">
      <c r="A120">
        <v>120</v>
      </c>
      <c r="B120" s="4">
        <v>528.799766463635</v>
      </c>
      <c r="C120" s="7">
        <v>224.73990074704489</v>
      </c>
    </row>
    <row r="121" spans="1:3" ht="12.75">
      <c r="A121">
        <v>121</v>
      </c>
      <c r="B121" s="4">
        <v>529.7315439333033</v>
      </c>
      <c r="C121" s="7">
        <v>225.13590617165391</v>
      </c>
    </row>
    <row r="122" spans="1:3" ht="12.75">
      <c r="A122">
        <v>122</v>
      </c>
      <c r="B122" s="4">
        <v>530.6226816559501</v>
      </c>
      <c r="C122" s="7">
        <v>225.5146397037788</v>
      </c>
    </row>
    <row r="123" spans="1:3" ht="12.75">
      <c r="A123">
        <v>123</v>
      </c>
      <c r="B123" s="4">
        <v>531.4766561110446</v>
      </c>
      <c r="C123" s="7">
        <v>225.87757884719394</v>
      </c>
    </row>
    <row r="124" spans="1:3" ht="12.75">
      <c r="A124">
        <v>124</v>
      </c>
      <c r="B124" s="4">
        <v>532.2936092816235</v>
      </c>
      <c r="C124" s="7">
        <v>226.22478394469</v>
      </c>
    </row>
    <row r="125" spans="1:3" ht="12.75">
      <c r="A125">
        <v>125</v>
      </c>
      <c r="B125" s="4">
        <v>533.0773558052897</v>
      </c>
      <c r="C125" s="7">
        <v>226.55787621724812</v>
      </c>
    </row>
    <row r="126" spans="1:3" ht="12.75">
      <c r="A126">
        <v>126</v>
      </c>
      <c r="B126" s="4">
        <v>533.8248170512088</v>
      </c>
      <c r="C126" s="7">
        <v>226.87554724676374</v>
      </c>
    </row>
    <row r="127" spans="1:3" ht="12.75">
      <c r="A127">
        <v>127</v>
      </c>
      <c r="B127" s="4">
        <v>534.540074247343</v>
      </c>
      <c r="C127" s="7">
        <v>227.17953155512078</v>
      </c>
    </row>
    <row r="128" spans="1:3" ht="12.75">
      <c r="A128">
        <v>128</v>
      </c>
      <c r="B128" s="4">
        <v>535.2273068012437</v>
      </c>
      <c r="C128" s="7">
        <v>227.47160539052857</v>
      </c>
    </row>
    <row r="129" spans="1:3" ht="12.75">
      <c r="A129">
        <v>129</v>
      </c>
      <c r="B129" s="4">
        <v>535.8802422560984</v>
      </c>
      <c r="C129" s="7">
        <v>227.74910295884183</v>
      </c>
    </row>
    <row r="130" spans="1:3" ht="12.75">
      <c r="A130">
        <v>130</v>
      </c>
      <c r="B130" s="4">
        <v>536.5067458318663</v>
      </c>
      <c r="C130" s="7">
        <v>228.01536697854317</v>
      </c>
    </row>
    <row r="131" spans="1:3" ht="12.75">
      <c r="A131">
        <v>131</v>
      </c>
      <c r="B131" s="4">
        <v>537.1077159274137</v>
      </c>
      <c r="C131" s="7">
        <v>228.2707792691508</v>
      </c>
    </row>
    <row r="132" spans="1:3" ht="12.75">
      <c r="A132">
        <v>132</v>
      </c>
      <c r="B132" s="4">
        <v>537.6805851628887</v>
      </c>
      <c r="C132" s="7">
        <v>228.51424869422772</v>
      </c>
    </row>
    <row r="133" spans="1:3" ht="12.75">
      <c r="A133">
        <v>133</v>
      </c>
      <c r="B133" s="4">
        <v>538.2298619919311</v>
      </c>
      <c r="C133" s="7">
        <v>228.74769134657075</v>
      </c>
    </row>
    <row r="134" spans="1:3" ht="12.75">
      <c r="A134">
        <v>134</v>
      </c>
      <c r="B134" s="4">
        <v>538.7530474770756</v>
      </c>
      <c r="C134" s="7">
        <v>228.97004517775713</v>
      </c>
    </row>
    <row r="135" spans="1:3" ht="12.75">
      <c r="A135">
        <v>135</v>
      </c>
      <c r="B135" s="4">
        <v>539.25469425958</v>
      </c>
      <c r="C135" s="7">
        <v>229.1832450603215</v>
      </c>
    </row>
    <row r="136" spans="1:3" ht="12.75">
      <c r="A136">
        <v>136</v>
      </c>
      <c r="B136" s="4">
        <v>539.7323344317556</v>
      </c>
      <c r="C136" s="7">
        <v>229.38624213349613</v>
      </c>
    </row>
    <row r="137" spans="1:3" ht="12.75">
      <c r="A137">
        <v>137</v>
      </c>
      <c r="B137" s="4">
        <v>540.1940469564579</v>
      </c>
      <c r="C137" s="7">
        <v>229.5824699564946</v>
      </c>
    </row>
    <row r="138" spans="1:3" ht="12.75">
      <c r="A138">
        <v>138</v>
      </c>
      <c r="B138" s="4">
        <v>540.630328014231</v>
      </c>
      <c r="C138" s="7">
        <v>229.7678894060482</v>
      </c>
    </row>
    <row r="139" spans="1:3" ht="12.75">
      <c r="A139">
        <v>139</v>
      </c>
      <c r="B139" s="4">
        <v>541.0492359587806</v>
      </c>
      <c r="C139" s="7">
        <v>229.94592528248177</v>
      </c>
    </row>
    <row r="140" spans="1:3" ht="12.75">
      <c r="A140">
        <v>140</v>
      </c>
      <c r="B140" s="4">
        <v>541.4482618602051</v>
      </c>
      <c r="C140" s="7">
        <v>230.11551129058716</v>
      </c>
    </row>
    <row r="141" spans="1:3" ht="12.75">
      <c r="A141">
        <v>141</v>
      </c>
      <c r="B141" s="4">
        <v>541.831903563434</v>
      </c>
      <c r="C141" s="7">
        <v>230.27855901445946</v>
      </c>
    </row>
    <row r="142" spans="1:3" ht="12.75">
      <c r="A142">
        <v>142</v>
      </c>
      <c r="B142" s="4">
        <v>542.1975925601146</v>
      </c>
      <c r="C142" s="7">
        <v>230.4339768380487</v>
      </c>
    </row>
    <row r="143" spans="1:3" ht="12.75">
      <c r="A143">
        <v>143</v>
      </c>
      <c r="B143" s="4">
        <v>542.5497543870733</v>
      </c>
      <c r="C143" s="7">
        <v>230.58364561450614</v>
      </c>
    </row>
    <row r="144" spans="1:3" ht="12.75">
      <c r="A144">
        <v>144</v>
      </c>
      <c r="B144" s="4">
        <v>542.8857417929976</v>
      </c>
      <c r="C144" s="7">
        <v>230.72644026202397</v>
      </c>
    </row>
    <row r="145" spans="1:3" ht="12.75">
      <c r="A145">
        <v>145</v>
      </c>
      <c r="B145" s="4">
        <v>543.2028609538975</v>
      </c>
      <c r="C145" s="7">
        <v>230.86121590540643</v>
      </c>
    </row>
    <row r="146" spans="1:3" ht="12.75">
      <c r="A146">
        <v>146</v>
      </c>
      <c r="B146" s="4">
        <v>543.5089133174188</v>
      </c>
      <c r="C146" s="7">
        <v>230.99128815990295</v>
      </c>
    </row>
    <row r="147" spans="1:3" ht="12.75">
      <c r="A147">
        <v>147</v>
      </c>
      <c r="B147" s="4">
        <v>543.8011007652676</v>
      </c>
      <c r="C147" s="7">
        <v>231.11546782523874</v>
      </c>
    </row>
    <row r="148" spans="1:3" ht="12.75">
      <c r="A148">
        <v>148</v>
      </c>
      <c r="B148" s="4">
        <v>544.0800833504909</v>
      </c>
      <c r="C148" s="7">
        <v>231.2340354239586</v>
      </c>
    </row>
    <row r="149" spans="1:3" ht="12.75">
      <c r="A149">
        <v>149</v>
      </c>
      <c r="B149" s="4">
        <v>544.3429455626756</v>
      </c>
      <c r="C149" s="7">
        <v>231.34575186413713</v>
      </c>
    </row>
    <row r="150" spans="1:3" ht="12.75">
      <c r="A150">
        <v>150</v>
      </c>
      <c r="B150" s="4">
        <v>544.6007727314282</v>
      </c>
      <c r="C150" s="7">
        <v>231.45532841085694</v>
      </c>
    </row>
    <row r="151" spans="1:3" ht="12.75">
      <c r="A151">
        <v>151</v>
      </c>
      <c r="B151" s="4">
        <v>544.8434922987872</v>
      </c>
      <c r="C151" s="7">
        <v>231.55848422698458</v>
      </c>
    </row>
    <row r="152" spans="1:3" ht="12.75">
      <c r="A152">
        <v>152</v>
      </c>
      <c r="B152" s="4">
        <v>545.0785424131027</v>
      </c>
      <c r="C152" s="7">
        <v>231.65838052556865</v>
      </c>
    </row>
    <row r="153" spans="1:3" ht="12.75">
      <c r="A153">
        <v>153</v>
      </c>
      <c r="B153" s="4">
        <v>545.2992326740059</v>
      </c>
      <c r="C153" s="7">
        <v>231.7521738864525</v>
      </c>
    </row>
    <row r="154" spans="1:3" ht="12.75">
      <c r="A154">
        <v>154</v>
      </c>
      <c r="B154" s="4">
        <v>545.5093491404114</v>
      </c>
      <c r="C154" s="7">
        <v>231.8414733846748</v>
      </c>
    </row>
    <row r="155" spans="1:3" ht="12.75">
      <c r="A155">
        <v>155</v>
      </c>
      <c r="B155" s="4">
        <v>545.7126076860732</v>
      </c>
      <c r="C155" s="7">
        <v>231.92785826658107</v>
      </c>
    </row>
    <row r="156" spans="1:3" ht="12.75">
      <c r="A156">
        <v>156</v>
      </c>
      <c r="B156" s="4">
        <v>545.9091378404992</v>
      </c>
      <c r="C156" s="7">
        <v>232.01138358221215</v>
      </c>
    </row>
    <row r="157" spans="1:3" ht="12.75">
      <c r="A157">
        <v>157</v>
      </c>
      <c r="B157" s="4">
        <v>546.0919668359566</v>
      </c>
      <c r="C157" s="7">
        <v>232.08908590528154</v>
      </c>
    </row>
    <row r="158" spans="1:3" ht="12.75">
      <c r="A158">
        <v>158</v>
      </c>
      <c r="B158" s="4">
        <v>546.2716256159183</v>
      </c>
      <c r="C158" s="7">
        <v>232.16544088676528</v>
      </c>
    </row>
    <row r="159" spans="1:3" ht="12.75">
      <c r="A159">
        <v>159</v>
      </c>
      <c r="B159" s="4">
        <v>546.4374810795562</v>
      </c>
      <c r="C159" s="7">
        <v>232.23592945881134</v>
      </c>
    </row>
    <row r="160" spans="1:3" ht="12.75">
      <c r="A160">
        <v>160</v>
      </c>
      <c r="B160" s="4">
        <v>546.599918535685</v>
      </c>
      <c r="C160" s="7">
        <v>232.3049653776661</v>
      </c>
    </row>
    <row r="161" spans="1:3" ht="12.75">
      <c r="A161">
        <v>161</v>
      </c>
      <c r="B161" s="4">
        <v>546.7516741533473</v>
      </c>
      <c r="C161" s="7">
        <v>232.3694615151726</v>
      </c>
    </row>
    <row r="162" spans="1:3" ht="12.75">
      <c r="A162">
        <v>162</v>
      </c>
      <c r="B162" s="4">
        <v>546.8994717517489</v>
      </c>
      <c r="C162" s="7">
        <v>232.43227549449333</v>
      </c>
    </row>
    <row r="163" spans="1:3" ht="12.75">
      <c r="A163">
        <v>163</v>
      </c>
      <c r="B163" s="4">
        <v>547.0394178242714</v>
      </c>
      <c r="C163" s="7">
        <v>232.49175257531533</v>
      </c>
    </row>
    <row r="164" spans="1:3" ht="12.75">
      <c r="A164">
        <v>164</v>
      </c>
      <c r="B164" s="4">
        <v>547.1745757989993</v>
      </c>
      <c r="C164" s="7">
        <v>232.5491947145747</v>
      </c>
    </row>
    <row r="165" spans="1:3" ht="12.75">
      <c r="A165">
        <v>165</v>
      </c>
      <c r="B165" s="4">
        <v>547.3009069888576</v>
      </c>
      <c r="C165" s="7">
        <v>232.60288547026445</v>
      </c>
    </row>
    <row r="166" spans="1:3" ht="12.75">
      <c r="A166">
        <v>166</v>
      </c>
      <c r="B166" s="4">
        <v>547.4248470130988</v>
      </c>
      <c r="C166" s="7">
        <v>232.65555998056695</v>
      </c>
    </row>
    <row r="167" spans="1:3" ht="12.75">
      <c r="A167">
        <v>167</v>
      </c>
      <c r="B167" s="4">
        <v>547.5386996257839</v>
      </c>
      <c r="C167" s="7">
        <v>232.70394734095817</v>
      </c>
    </row>
    <row r="168" spans="1:3" ht="12.75">
      <c r="A168">
        <v>168</v>
      </c>
      <c r="B168" s="4">
        <v>547.6557897118255</v>
      </c>
      <c r="C168" s="7">
        <v>232.75371062752586</v>
      </c>
    </row>
    <row r="169" spans="1:3" ht="12.75">
      <c r="A169">
        <v>169</v>
      </c>
      <c r="B169" s="4">
        <v>547.7612509439496</v>
      </c>
      <c r="C169" s="7">
        <v>232.79853165117854</v>
      </c>
    </row>
    <row r="170" spans="1:3" ht="12.75">
      <c r="A170">
        <v>170</v>
      </c>
      <c r="B170" s="4">
        <v>547.8612396554126</v>
      </c>
      <c r="C170" s="7">
        <v>232.84102685355037</v>
      </c>
    </row>
    <row r="171" spans="1:3" ht="12.75">
      <c r="A171">
        <v>171</v>
      </c>
      <c r="B171" s="4">
        <v>547.9583291376912</v>
      </c>
      <c r="C171" s="7">
        <v>232.88228988351878</v>
      </c>
    </row>
    <row r="172" spans="1:3" ht="12.75">
      <c r="A172">
        <v>172</v>
      </c>
      <c r="B172" s="4">
        <v>548.0515106309213</v>
      </c>
      <c r="C172" s="7">
        <v>232.92189201814153</v>
      </c>
    </row>
    <row r="173" spans="1:3" ht="12.75">
      <c r="A173">
        <v>173</v>
      </c>
      <c r="B173" s="4">
        <v>548.1397094359636</v>
      </c>
      <c r="C173" s="7">
        <v>232.9593765102845</v>
      </c>
    </row>
    <row r="174" spans="1:3" ht="12.75">
      <c r="A174">
        <v>174</v>
      </c>
      <c r="B174" s="4">
        <v>548.225301169532</v>
      </c>
      <c r="C174" s="7">
        <v>232.9957529970511</v>
      </c>
    </row>
    <row r="175" spans="1:3" ht="12.75">
      <c r="A175">
        <v>175</v>
      </c>
      <c r="B175" s="4">
        <v>548.3035671496509</v>
      </c>
      <c r="C175" s="7">
        <v>233.02901603860164</v>
      </c>
    </row>
    <row r="176" spans="1:3" ht="12.75">
      <c r="A176">
        <v>176</v>
      </c>
      <c r="B176" s="4">
        <v>548.3837867491275</v>
      </c>
      <c r="C176" s="7">
        <v>233.06310936837917</v>
      </c>
    </row>
    <row r="177" spans="1:3" ht="12.75">
      <c r="A177">
        <v>177</v>
      </c>
      <c r="B177" s="4">
        <v>548.4540863403708</v>
      </c>
      <c r="C177" s="7">
        <v>233.0929866946576</v>
      </c>
    </row>
    <row r="178" spans="1:3" ht="12.75">
      <c r="A178">
        <v>178</v>
      </c>
      <c r="B178" s="4">
        <v>548.5271381885468</v>
      </c>
      <c r="C178" s="7">
        <v>233.12403373013237</v>
      </c>
    </row>
    <row r="179" spans="1:3" ht="12.75">
      <c r="A179">
        <v>179</v>
      </c>
      <c r="B179" s="4">
        <v>548.5944638364344</v>
      </c>
      <c r="C179" s="7">
        <v>233.15264713048464</v>
      </c>
    </row>
    <row r="180" spans="1:3" ht="12.75">
      <c r="A180">
        <v>180</v>
      </c>
      <c r="B180" s="4">
        <v>548.6580720288657</v>
      </c>
      <c r="C180" s="7">
        <v>233.17968061226793</v>
      </c>
    </row>
    <row r="181" spans="1:3" ht="12.75">
      <c r="A181">
        <v>181</v>
      </c>
      <c r="B181" s="4">
        <v>548.716399526802</v>
      </c>
      <c r="C181" s="7">
        <v>233.20446979889084</v>
      </c>
    </row>
    <row r="182" spans="1:3" ht="12.75">
      <c r="A182">
        <v>182</v>
      </c>
      <c r="B182" s="4">
        <v>548.7748571385055</v>
      </c>
      <c r="C182" s="7">
        <v>233.22931428386482</v>
      </c>
    </row>
    <row r="183" spans="1:3" ht="12.75">
      <c r="A183">
        <v>183</v>
      </c>
      <c r="B183" s="4">
        <v>548.8317705606278</v>
      </c>
      <c r="C183" s="7">
        <v>233.2535024882668</v>
      </c>
    </row>
    <row r="184" spans="1:3" ht="12.75">
      <c r="A184">
        <v>184</v>
      </c>
      <c r="B184" s="4">
        <v>548.8854118735162</v>
      </c>
      <c r="C184" s="7">
        <v>233.2763000462444</v>
      </c>
    </row>
    <row r="185" spans="1:3" ht="12.75">
      <c r="A185">
        <v>185</v>
      </c>
      <c r="B185" s="4">
        <v>548.9340006867224</v>
      </c>
      <c r="C185" s="7">
        <v>233.296950291857</v>
      </c>
    </row>
    <row r="186" spans="1:3" ht="12.75">
      <c r="A186">
        <v>186</v>
      </c>
      <c r="B186" s="4">
        <v>548.9862509920385</v>
      </c>
      <c r="C186" s="7">
        <v>233.31915667161638</v>
      </c>
    </row>
    <row r="187" spans="1:3" ht="12.75">
      <c r="A187">
        <v>187</v>
      </c>
      <c r="B187" s="4">
        <v>549.0297353630012</v>
      </c>
      <c r="C187" s="7">
        <v>233.33763752927553</v>
      </c>
    </row>
    <row r="188" spans="1:3" ht="12.75">
      <c r="A188">
        <v>188</v>
      </c>
      <c r="B188" s="4">
        <v>549.0730687714404</v>
      </c>
      <c r="C188" s="7">
        <v>233.35605422786216</v>
      </c>
    </row>
    <row r="189" spans="1:3" ht="12.75">
      <c r="A189">
        <v>189</v>
      </c>
      <c r="B189" s="4">
        <v>549.1142726854378</v>
      </c>
      <c r="C189" s="7">
        <v>233.37356589131102</v>
      </c>
    </row>
    <row r="190" spans="1:3" ht="12.75">
      <c r="A190">
        <v>190</v>
      </c>
      <c r="B190" s="4">
        <v>549.1548372205671</v>
      </c>
      <c r="C190" s="7">
        <v>233.390805818741</v>
      </c>
    </row>
    <row r="191" spans="1:3" ht="12.75">
      <c r="A191">
        <v>191</v>
      </c>
      <c r="B191" s="4">
        <v>549.1962070077079</v>
      </c>
      <c r="C191" s="7">
        <v>233.40838797827587</v>
      </c>
    </row>
    <row r="192" spans="1:3" ht="12.75">
      <c r="A192">
        <v>192</v>
      </c>
      <c r="B192" s="4">
        <v>549.2327518066759</v>
      </c>
      <c r="C192" s="7">
        <v>233.42391951783725</v>
      </c>
    </row>
    <row r="193" spans="1:3" ht="12.75">
      <c r="A193">
        <v>193</v>
      </c>
      <c r="B193" s="4">
        <v>549.2693439181494</v>
      </c>
      <c r="C193" s="7">
        <v>233.4394711652135</v>
      </c>
    </row>
    <row r="194" spans="1:3" ht="12.75">
      <c r="A194">
        <v>194</v>
      </c>
      <c r="B194" s="4">
        <v>549.3002677580535</v>
      </c>
      <c r="C194" s="7">
        <v>233.45261379717272</v>
      </c>
    </row>
    <row r="195" spans="1:3" ht="12.75">
      <c r="A195">
        <v>195</v>
      </c>
      <c r="B195" s="4">
        <v>549.3338275587575</v>
      </c>
      <c r="C195" s="7">
        <v>233.46687671247196</v>
      </c>
    </row>
    <row r="196" spans="1:3" ht="12.75">
      <c r="A196">
        <v>196</v>
      </c>
      <c r="B196" s="4">
        <v>549.364226806756</v>
      </c>
      <c r="C196" s="7">
        <v>233.47979639287135</v>
      </c>
    </row>
    <row r="197" spans="1:3" ht="12.75">
      <c r="A197">
        <v>197</v>
      </c>
      <c r="B197" s="4">
        <v>549.3926604115586</v>
      </c>
      <c r="C197" s="7">
        <v>233.4918806749124</v>
      </c>
    </row>
    <row r="198" spans="1:3" ht="12.75">
      <c r="A198">
        <v>198</v>
      </c>
      <c r="B198" s="4">
        <v>549.4202854553805</v>
      </c>
      <c r="C198" s="7">
        <v>233.50362131853674</v>
      </c>
    </row>
    <row r="199" spans="1:3" ht="12.75">
      <c r="A199">
        <v>199</v>
      </c>
      <c r="B199" s="4">
        <v>549.4447069959278</v>
      </c>
      <c r="C199" s="7">
        <v>233.5140004732693</v>
      </c>
    </row>
    <row r="200" spans="1:3" ht="12.75">
      <c r="A200">
        <v>200</v>
      </c>
      <c r="B200" s="4">
        <v>549.470524613298</v>
      </c>
      <c r="C200" s="7">
        <v>233.52497296065167</v>
      </c>
    </row>
    <row r="201" spans="1:3" ht="12.75">
      <c r="A201">
        <v>201</v>
      </c>
      <c r="B201" s="4">
        <v>549.4952726665588</v>
      </c>
      <c r="C201" s="7">
        <v>233.53549088328748</v>
      </c>
    </row>
    <row r="202" spans="1:3" ht="12.75">
      <c r="A202">
        <v>202</v>
      </c>
      <c r="B202" s="4">
        <v>549.5199668288933</v>
      </c>
      <c r="C202" s="7">
        <v>233.54598590227965</v>
      </c>
    </row>
    <row r="203" spans="1:3" ht="12.75">
      <c r="A203">
        <v>203</v>
      </c>
      <c r="B203" s="4">
        <v>549.5420746602122</v>
      </c>
      <c r="C203" s="7">
        <v>233.55538173059017</v>
      </c>
    </row>
    <row r="204" spans="1:3" ht="12.75">
      <c r="A204">
        <v>204</v>
      </c>
      <c r="B204" s="4">
        <v>549.5590317269716</v>
      </c>
      <c r="C204" s="7">
        <v>233.56258848396294</v>
      </c>
    </row>
    <row r="205" spans="1:3" ht="12.75">
      <c r="A205">
        <v>205</v>
      </c>
      <c r="B205" s="4">
        <v>549.5823033687429</v>
      </c>
      <c r="C205" s="7">
        <v>233.57247893171575</v>
      </c>
    </row>
    <row r="206" spans="1:3" ht="12.75">
      <c r="A206">
        <v>206</v>
      </c>
      <c r="B206" s="4">
        <v>549.6022335102225</v>
      </c>
      <c r="C206" s="7">
        <v>233.58094924184456</v>
      </c>
    </row>
    <row r="207" spans="1:3" ht="12.75">
      <c r="A207">
        <v>207</v>
      </c>
      <c r="B207" s="4">
        <v>549.6196823898345</v>
      </c>
      <c r="C207" s="7">
        <v>233.58836501567964</v>
      </c>
    </row>
    <row r="208" spans="1:3" ht="12.75">
      <c r="A208">
        <v>208</v>
      </c>
      <c r="B208" s="4">
        <v>549.6354817718611</v>
      </c>
      <c r="C208" s="7">
        <v>233.59507975304098</v>
      </c>
    </row>
    <row r="209" spans="1:3" ht="12.75">
      <c r="A209">
        <v>209</v>
      </c>
      <c r="B209" s="4">
        <v>549.6504359343817</v>
      </c>
      <c r="C209" s="7">
        <v>233.60143527211218</v>
      </c>
    </row>
    <row r="210" spans="1:3" ht="12.75">
      <c r="A210">
        <v>210</v>
      </c>
      <c r="B210" s="4">
        <v>549.6688375049644</v>
      </c>
      <c r="C210" s="7">
        <v>233.60925593960985</v>
      </c>
    </row>
    <row r="211" spans="1:3" ht="12.75">
      <c r="A211">
        <v>211</v>
      </c>
      <c r="B211" s="4">
        <v>549.684407531413</v>
      </c>
      <c r="C211" s="7">
        <v>233.6158732008505</v>
      </c>
    </row>
    <row r="212" spans="1:3" ht="12.75">
      <c r="A212">
        <v>212</v>
      </c>
      <c r="B212" s="4">
        <v>549.697872285924</v>
      </c>
      <c r="C212" s="7">
        <v>233.62159572151768</v>
      </c>
    </row>
    <row r="213" spans="1:3" ht="12.75">
      <c r="A213">
        <v>213</v>
      </c>
      <c r="B213" s="4">
        <v>549.7099335828352</v>
      </c>
      <c r="C213" s="7">
        <v>233.62672177270497</v>
      </c>
    </row>
    <row r="214" spans="1:3" ht="12.75">
      <c r="A214">
        <v>214</v>
      </c>
      <c r="B214" s="4">
        <v>549.7247848699317</v>
      </c>
      <c r="C214" s="7">
        <v>233.63303356972096</v>
      </c>
    </row>
    <row r="215" spans="1:3" ht="12.75">
      <c r="A215">
        <v>215</v>
      </c>
      <c r="B215" s="4">
        <v>549.7360508629981</v>
      </c>
      <c r="C215" s="7">
        <v>233.6378216167742</v>
      </c>
    </row>
    <row r="216" spans="1:3" ht="12.75">
      <c r="A216">
        <v>216</v>
      </c>
      <c r="B216" s="4">
        <v>549.7513949859012</v>
      </c>
      <c r="C216" s="7">
        <v>233.64434286900803</v>
      </c>
    </row>
    <row r="217" spans="1:3" ht="12.75">
      <c r="A217">
        <v>217</v>
      </c>
      <c r="B217" s="4">
        <v>549.7608830008403</v>
      </c>
      <c r="C217" s="7">
        <v>233.64837527535713</v>
      </c>
    </row>
    <row r="218" spans="1:3" ht="12.75">
      <c r="A218">
        <v>218</v>
      </c>
      <c r="B218" s="4">
        <v>549.7721358889635</v>
      </c>
      <c r="C218" s="7">
        <v>233.65315775280948</v>
      </c>
    </row>
    <row r="219" spans="1:3" ht="12.75">
      <c r="A219">
        <v>219</v>
      </c>
      <c r="B219" s="4">
        <v>549.7822086924089</v>
      </c>
      <c r="C219" s="7">
        <v>233.65743869427376</v>
      </c>
    </row>
    <row r="220" spans="1:3" ht="12.75">
      <c r="A220">
        <v>220</v>
      </c>
      <c r="B220" s="4">
        <v>549.7916521165507</v>
      </c>
      <c r="C220" s="7">
        <v>233.66145214953406</v>
      </c>
    </row>
    <row r="221" spans="1:3" ht="12.75">
      <c r="A221">
        <v>221</v>
      </c>
      <c r="B221" s="4">
        <v>549.8045131682829</v>
      </c>
      <c r="C221" s="7">
        <v>233.66691809652025</v>
      </c>
    </row>
    <row r="222" spans="1:3" ht="12.75">
      <c r="A222">
        <v>222</v>
      </c>
      <c r="B222" s="4">
        <v>549.8107595373881</v>
      </c>
      <c r="C222" s="7">
        <v>233.66957280338994</v>
      </c>
    </row>
    <row r="223" spans="1:3" ht="12.75">
      <c r="A223">
        <v>223</v>
      </c>
      <c r="B223" s="4">
        <v>549.8179172469804</v>
      </c>
      <c r="C223" s="7">
        <v>233.67261482996668</v>
      </c>
    </row>
    <row r="224" spans="1:3" ht="12.75">
      <c r="A224">
        <v>224</v>
      </c>
      <c r="B224" s="4">
        <v>549.8264646989583</v>
      </c>
      <c r="C224" s="7">
        <v>233.67624749705726</v>
      </c>
    </row>
    <row r="225" spans="1:3" ht="12.75">
      <c r="A225">
        <v>225</v>
      </c>
      <c r="B225" s="4">
        <v>549.8368636318219</v>
      </c>
      <c r="C225" s="7">
        <v>233.6806670435243</v>
      </c>
    </row>
    <row r="226" spans="1:3" ht="12.75">
      <c r="A226">
        <v>226</v>
      </c>
      <c r="B226" s="4">
        <v>549.8425292334559</v>
      </c>
      <c r="C226" s="7">
        <v>233.68307492421877</v>
      </c>
    </row>
    <row r="227" spans="1:3" ht="12.75">
      <c r="A227">
        <v>227</v>
      </c>
      <c r="B227" s="4">
        <v>549.8474067675829</v>
      </c>
      <c r="C227" s="7">
        <v>233.68514787622274</v>
      </c>
    </row>
    <row r="228" spans="1:3" ht="12.75">
      <c r="A228">
        <v>228</v>
      </c>
      <c r="B228" s="4">
        <v>549.8554264103518</v>
      </c>
      <c r="C228" s="7">
        <v>233.68855622439952</v>
      </c>
    </row>
    <row r="229" spans="1:3" ht="12.75">
      <c r="A229">
        <v>229</v>
      </c>
      <c r="B229" s="4">
        <v>549.8634733159736</v>
      </c>
      <c r="C229" s="7">
        <v>233.69197615928877</v>
      </c>
    </row>
    <row r="230" spans="1:3" ht="12.75">
      <c r="A230">
        <v>230</v>
      </c>
      <c r="B230" s="4">
        <v>549.8684185664235</v>
      </c>
      <c r="C230" s="7">
        <v>233.69407789073</v>
      </c>
    </row>
    <row r="231" spans="1:3" ht="12.75">
      <c r="A231">
        <v>231</v>
      </c>
      <c r="B231" s="4">
        <v>549.8776669647405</v>
      </c>
      <c r="C231" s="7">
        <v>233.69800846001468</v>
      </c>
    </row>
    <row r="232" spans="1:3" ht="12.75">
      <c r="A232">
        <v>232</v>
      </c>
      <c r="B232" s="4">
        <v>549.8810807152153</v>
      </c>
      <c r="C232" s="7">
        <v>233.69945930396648</v>
      </c>
    </row>
    <row r="233" spans="1:3" ht="12.75">
      <c r="A233">
        <v>233</v>
      </c>
      <c r="B233" s="4">
        <v>549.8830626172925</v>
      </c>
      <c r="C233" s="7">
        <v>233.70030161234928</v>
      </c>
    </row>
    <row r="234" spans="1:3" ht="12.75">
      <c r="A234">
        <v>234</v>
      </c>
      <c r="B234" s="4">
        <v>549.890622970541</v>
      </c>
      <c r="C234" s="7">
        <v>233.70351476247993</v>
      </c>
    </row>
    <row r="235" spans="1:3" ht="12.75">
      <c r="A235">
        <v>235</v>
      </c>
      <c r="B235" s="4">
        <v>549.8946318756822</v>
      </c>
      <c r="C235" s="7">
        <v>233.70521854716492</v>
      </c>
    </row>
    <row r="236" spans="1:3" ht="12.75">
      <c r="A236">
        <v>236</v>
      </c>
      <c r="B236" s="4">
        <v>549.8978896917812</v>
      </c>
      <c r="C236" s="7">
        <v>233.70660311900699</v>
      </c>
    </row>
    <row r="237" spans="1:3" ht="12.75">
      <c r="A237">
        <v>237</v>
      </c>
      <c r="B237" s="4">
        <v>549.8895609694684</v>
      </c>
      <c r="C237" s="7">
        <v>233.70306341202408</v>
      </c>
    </row>
    <row r="238" spans="1:3" ht="12.75">
      <c r="A238">
        <v>238</v>
      </c>
      <c r="B238" s="4">
        <v>549.860077544713</v>
      </c>
      <c r="C238" s="7">
        <v>233.69053295650303</v>
      </c>
    </row>
    <row r="239" spans="1:3" ht="12.75">
      <c r="A239">
        <v>239</v>
      </c>
      <c r="B239" s="4">
        <v>549.8030750519206</v>
      </c>
      <c r="C239" s="7">
        <v>233.66630689706625</v>
      </c>
    </row>
    <row r="240" spans="1:3" ht="12.75">
      <c r="A240">
        <v>240</v>
      </c>
      <c r="B240" s="4">
        <v>549.6811177349514</v>
      </c>
      <c r="C240" s="7">
        <v>233.61447503735434</v>
      </c>
    </row>
    <row r="241" spans="1:3" ht="12.75">
      <c r="A241">
        <v>241</v>
      </c>
      <c r="B241" s="4">
        <v>549.4786326038536</v>
      </c>
      <c r="C241" s="7">
        <v>233.52841885663778</v>
      </c>
    </row>
    <row r="242" spans="1:3" ht="12.75">
      <c r="A242">
        <v>242</v>
      </c>
      <c r="B242" s="4">
        <v>549.1509391873763</v>
      </c>
      <c r="C242" s="7">
        <v>233.3891491546349</v>
      </c>
    </row>
    <row r="243" spans="1:3" ht="12.75">
      <c r="A243">
        <v>243</v>
      </c>
      <c r="B243" s="4">
        <v>548.6621619458106</v>
      </c>
      <c r="C243" s="7">
        <v>233.1814188269695</v>
      </c>
    </row>
    <row r="244" spans="1:3" ht="12.75">
      <c r="A244">
        <v>244</v>
      </c>
      <c r="B244" s="4">
        <v>547.9601495654151</v>
      </c>
      <c r="C244" s="7">
        <v>232.88306356530143</v>
      </c>
    </row>
    <row r="245" spans="1:3" ht="12.75">
      <c r="A245">
        <v>245</v>
      </c>
      <c r="B245" s="4">
        <v>547.0029979257561</v>
      </c>
      <c r="C245" s="7">
        <v>232.47627411844633</v>
      </c>
    </row>
    <row r="246" spans="1:3" ht="12.75">
      <c r="A246">
        <v>246</v>
      </c>
      <c r="B246" s="4">
        <v>545.736495128682</v>
      </c>
      <c r="C246" s="7">
        <v>231.93801042968985</v>
      </c>
    </row>
    <row r="247" spans="1:3" ht="12.75">
      <c r="A247">
        <v>247</v>
      </c>
      <c r="B247" s="4">
        <v>544.1284403282054</v>
      </c>
      <c r="C247" s="7">
        <v>231.2545871394873</v>
      </c>
    </row>
    <row r="248" spans="1:3" ht="12.75">
      <c r="A248">
        <v>248</v>
      </c>
      <c r="B248" s="4">
        <v>542.1296683783055</v>
      </c>
      <c r="C248" s="7">
        <v>230.40510906077984</v>
      </c>
    </row>
    <row r="249" spans="1:3" ht="12.75">
      <c r="A249">
        <v>249</v>
      </c>
      <c r="B249" s="4">
        <v>539.7159855796531</v>
      </c>
      <c r="C249" s="7">
        <v>229.37929387135256</v>
      </c>
    </row>
    <row r="250" spans="1:3" ht="12.75">
      <c r="A250">
        <v>250</v>
      </c>
      <c r="B250" s="4">
        <v>536.8521347414458</v>
      </c>
      <c r="C250" s="7">
        <v>228.16215726511444</v>
      </c>
    </row>
    <row r="251" spans="1:3" ht="12.75">
      <c r="A251">
        <v>251</v>
      </c>
      <c r="B251" s="4">
        <v>533.5141663792172</v>
      </c>
      <c r="C251" s="7">
        <v>226.7435207111673</v>
      </c>
    </row>
    <row r="252" spans="1:3" ht="12.75">
      <c r="A252">
        <v>252</v>
      </c>
      <c r="B252" s="4">
        <v>529.6921573781361</v>
      </c>
      <c r="C252" s="7">
        <v>225.11916688570784</v>
      </c>
    </row>
    <row r="253" spans="1:3" ht="12.75">
      <c r="A253">
        <v>253</v>
      </c>
      <c r="B253" s="4">
        <v>525.3796916191078</v>
      </c>
      <c r="C253" s="7">
        <v>223.2863689381208</v>
      </c>
    </row>
    <row r="254" spans="1:3" ht="12.75">
      <c r="A254">
        <v>254</v>
      </c>
      <c r="B254" s="4">
        <v>520.5706770940907</v>
      </c>
      <c r="C254" s="7">
        <v>221.24253776498855</v>
      </c>
    </row>
    <row r="255" spans="1:3" ht="12.75">
      <c r="A255">
        <v>255</v>
      </c>
      <c r="B255" s="4">
        <v>515.2666161303927</v>
      </c>
      <c r="C255" s="7">
        <v>218.9883118554169</v>
      </c>
    </row>
    <row r="256" spans="1:3" ht="12.75">
      <c r="A256">
        <v>256</v>
      </c>
      <c r="B256" s="4">
        <v>509.49053030557536</v>
      </c>
      <c r="C256" s="7">
        <v>216.53347537986951</v>
      </c>
    </row>
    <row r="257" spans="1:3" ht="12.75">
      <c r="A257">
        <v>257</v>
      </c>
      <c r="B257" s="4">
        <v>503.2510474138178</v>
      </c>
      <c r="C257" s="7">
        <v>213.88169515087256</v>
      </c>
    </row>
    <row r="258" spans="1:3" ht="12.75">
      <c r="A258">
        <v>258</v>
      </c>
      <c r="B258" s="4">
        <v>496.565627897553</v>
      </c>
      <c r="C258" s="7">
        <v>211.04039185646002</v>
      </c>
    </row>
    <row r="259" spans="1:3" ht="12.75">
      <c r="A259">
        <v>259</v>
      </c>
      <c r="B259" s="4">
        <v>489.45833384211426</v>
      </c>
      <c r="C259" s="7">
        <v>208.01979188289857</v>
      </c>
    </row>
    <row r="260" spans="1:3" ht="12.75">
      <c r="A260">
        <v>260</v>
      </c>
      <c r="B260" s="4">
        <v>481.9568652269993</v>
      </c>
      <c r="C260" s="7">
        <v>204.8316677214747</v>
      </c>
    </row>
    <row r="261" spans="1:3" ht="12.75">
      <c r="A261">
        <v>261</v>
      </c>
      <c r="B261" s="4">
        <v>474.0888753835577</v>
      </c>
      <c r="C261" s="7">
        <v>201.48777203801203</v>
      </c>
    </row>
    <row r="262" spans="1:3" ht="12.75">
      <c r="A262">
        <v>262</v>
      </c>
      <c r="B262" s="4">
        <v>465.88460685268274</v>
      </c>
      <c r="C262" s="7">
        <v>198.00095791239016</v>
      </c>
    </row>
    <row r="263" spans="1:3" ht="12.75">
      <c r="A263">
        <v>263</v>
      </c>
      <c r="B263" s="4">
        <v>457.3785942763834</v>
      </c>
      <c r="C263" s="7">
        <v>194.38590256746295</v>
      </c>
    </row>
    <row r="264" spans="1:3" ht="12.75">
      <c r="A264">
        <v>264</v>
      </c>
      <c r="B264" s="4">
        <v>448.59741135686875</v>
      </c>
      <c r="C264" s="7">
        <v>190.65389982666923</v>
      </c>
    </row>
    <row r="265" spans="1:3" ht="12.75">
      <c r="A265">
        <v>265</v>
      </c>
      <c r="B265" s="4">
        <v>439.5813717808196</v>
      </c>
      <c r="C265" s="7">
        <v>186.82208300684835</v>
      </c>
    </row>
    <row r="266" spans="1:3" ht="12.75">
      <c r="A266">
        <v>266</v>
      </c>
      <c r="B266" s="4">
        <v>430.3534082253591</v>
      </c>
      <c r="C266" s="7">
        <v>182.9001984957776</v>
      </c>
    </row>
    <row r="267" spans="1:3" ht="12.75">
      <c r="A267">
        <v>267</v>
      </c>
      <c r="B267" s="4">
        <v>420.95079682092944</v>
      </c>
      <c r="C267" s="7">
        <v>178.904088648895</v>
      </c>
    </row>
    <row r="268" spans="1:3" ht="12.75">
      <c r="A268">
        <v>268</v>
      </c>
      <c r="B268" s="4">
        <v>411.4038424007517</v>
      </c>
      <c r="C268" s="7">
        <v>174.84663302031947</v>
      </c>
    </row>
    <row r="269" spans="1:3" ht="12.75">
      <c r="A269">
        <v>269</v>
      </c>
      <c r="B269" s="4">
        <v>401.74245178709066</v>
      </c>
      <c r="C269" s="7">
        <v>170.74054200951355</v>
      </c>
    </row>
    <row r="270" spans="1:3" ht="12.75">
      <c r="A270">
        <v>270</v>
      </c>
      <c r="B270" s="4">
        <v>391.9919609890726</v>
      </c>
      <c r="C270" s="7">
        <v>166.59658342035587</v>
      </c>
    </row>
    <row r="271" spans="1:3" ht="12.75">
      <c r="A271">
        <v>271</v>
      </c>
      <c r="B271" s="4">
        <v>382.1863941481822</v>
      </c>
      <c r="C271" s="7">
        <v>162.42921751297746</v>
      </c>
    </row>
    <row r="272" spans="1:3" ht="12.75">
      <c r="A272">
        <v>272</v>
      </c>
      <c r="B272" s="4">
        <v>372.34645718663864</v>
      </c>
      <c r="C272" s="7">
        <v>158.2472443043214</v>
      </c>
    </row>
    <row r="273" spans="1:3" ht="12.75">
      <c r="A273">
        <v>273</v>
      </c>
      <c r="B273" s="4">
        <v>362.4996472812129</v>
      </c>
      <c r="C273" s="7">
        <v>154.0623500945155</v>
      </c>
    </row>
    <row r="274" spans="1:3" ht="12.75">
      <c r="A274">
        <v>274</v>
      </c>
      <c r="B274" s="4">
        <v>352.6686733744143</v>
      </c>
      <c r="C274" s="7">
        <v>149.88418618412607</v>
      </c>
    </row>
    <row r="275" spans="1:3" ht="12.75">
      <c r="A275">
        <v>275</v>
      </c>
      <c r="B275" s="4">
        <v>342.87743412950533</v>
      </c>
      <c r="C275" s="7">
        <v>145.72290950503978</v>
      </c>
    </row>
    <row r="276" spans="1:3" ht="12.75">
      <c r="A276">
        <v>276</v>
      </c>
      <c r="B276" s="4">
        <v>333.13590089299646</v>
      </c>
      <c r="C276" s="7">
        <v>141.5827578795235</v>
      </c>
    </row>
    <row r="277" spans="1:3" ht="12.75">
      <c r="A277">
        <v>277</v>
      </c>
      <c r="B277" s="4">
        <v>323.4742287607389</v>
      </c>
      <c r="C277" s="7">
        <v>137.47654722331404</v>
      </c>
    </row>
    <row r="278" spans="1:3" ht="12.75">
      <c r="A278">
        <v>278</v>
      </c>
      <c r="B278" s="4">
        <v>313.9030743919577</v>
      </c>
      <c r="C278" s="7">
        <v>133.40880661658204</v>
      </c>
    </row>
    <row r="279" spans="1:3" ht="12.75">
      <c r="A279">
        <v>279</v>
      </c>
      <c r="B279" s="4">
        <v>304.44073700829506</v>
      </c>
      <c r="C279" s="7">
        <v>129.3873132285254</v>
      </c>
    </row>
    <row r="280" spans="1:3" ht="12.75">
      <c r="A280">
        <v>280</v>
      </c>
      <c r="B280" s="4">
        <v>295.09816493503104</v>
      </c>
      <c r="C280" s="7">
        <v>125.41672009738818</v>
      </c>
    </row>
    <row r="281" spans="1:3" ht="12.75">
      <c r="A281">
        <v>281</v>
      </c>
      <c r="B281" s="4">
        <v>285.892128201948</v>
      </c>
      <c r="C281" s="7">
        <v>121.50415448582791</v>
      </c>
    </row>
    <row r="282" spans="1:3" ht="12.75">
      <c r="A282">
        <v>282</v>
      </c>
      <c r="B282" s="4">
        <v>276.8268091303519</v>
      </c>
      <c r="C282" s="7">
        <v>117.65139388039954</v>
      </c>
    </row>
    <row r="283" spans="1:3" ht="12.75">
      <c r="A283">
        <v>283</v>
      </c>
      <c r="B283" s="4">
        <v>267.9141144465518</v>
      </c>
      <c r="C283" s="7">
        <v>113.86349863978452</v>
      </c>
    </row>
    <row r="284" spans="1:3" ht="12.75">
      <c r="A284">
        <v>284</v>
      </c>
      <c r="B284" s="4">
        <v>259.1659215376204</v>
      </c>
      <c r="C284" s="7">
        <v>110.14551665348868</v>
      </c>
    </row>
    <row r="285" spans="1:3" ht="12.75">
      <c r="A285">
        <v>285</v>
      </c>
      <c r="B285" s="4">
        <v>250.58637818055797</v>
      </c>
      <c r="C285" s="7">
        <v>106.49921072673713</v>
      </c>
    </row>
    <row r="286" spans="1:3" ht="12.75">
      <c r="A286">
        <v>286</v>
      </c>
      <c r="B286" s="4">
        <v>242.18535312664574</v>
      </c>
      <c r="C286" s="7">
        <v>102.92877507882444</v>
      </c>
    </row>
    <row r="287" spans="1:3" ht="12.75">
      <c r="A287">
        <v>287</v>
      </c>
      <c r="B287" s="4">
        <v>233.96732832625628</v>
      </c>
      <c r="C287" s="7">
        <v>99.43611453865891</v>
      </c>
    </row>
    <row r="288" spans="1:3" ht="12.75">
      <c r="A288">
        <v>288</v>
      </c>
      <c r="B288" s="4">
        <v>225.9344072339345</v>
      </c>
      <c r="C288" s="7">
        <v>96.02212307442217</v>
      </c>
    </row>
    <row r="289" spans="1:3" ht="12.75">
      <c r="A289">
        <v>289</v>
      </c>
      <c r="B289" s="4">
        <v>218.08585523969623</v>
      </c>
      <c r="C289" s="7">
        <v>92.6864884768709</v>
      </c>
    </row>
    <row r="290" spans="1:3" ht="12.75">
      <c r="A290">
        <v>290</v>
      </c>
      <c r="B290" s="4">
        <v>210.4387800991169</v>
      </c>
      <c r="C290" s="7">
        <v>89.4364815421247</v>
      </c>
    </row>
    <row r="291" spans="1:3" ht="12.75">
      <c r="A291">
        <v>291</v>
      </c>
      <c r="B291" s="4">
        <v>202.97855157117647</v>
      </c>
      <c r="C291" s="7">
        <v>86.26588441775</v>
      </c>
    </row>
    <row r="292" spans="1:3" ht="12.75">
      <c r="A292">
        <v>292</v>
      </c>
      <c r="B292" s="4">
        <v>195.71471750623107</v>
      </c>
      <c r="C292" s="7">
        <v>83.17875494014821</v>
      </c>
    </row>
    <row r="293" spans="1:3" ht="12.75">
      <c r="A293">
        <v>293</v>
      </c>
      <c r="B293" s="4">
        <v>188.6455686622014</v>
      </c>
      <c r="C293" s="7">
        <v>80.1743666814356</v>
      </c>
    </row>
    <row r="294" spans="1:3" ht="12.75">
      <c r="A294">
        <v>294</v>
      </c>
      <c r="B294" s="4">
        <v>181.77897702773157</v>
      </c>
      <c r="C294" s="7">
        <v>77.25606523678591</v>
      </c>
    </row>
    <row r="295" spans="1:3" ht="12.75">
      <c r="A295">
        <v>295</v>
      </c>
      <c r="B295" s="4">
        <v>175.09351312910576</v>
      </c>
      <c r="C295" s="7">
        <v>74.41474307986995</v>
      </c>
    </row>
    <row r="296" spans="1:3" ht="12.75">
      <c r="A296">
        <v>296</v>
      </c>
      <c r="B296" s="4">
        <v>168.61207955179862</v>
      </c>
      <c r="C296" s="7">
        <v>71.66013380951442</v>
      </c>
    </row>
    <row r="297" spans="1:3" ht="12.75">
      <c r="A297">
        <v>297</v>
      </c>
      <c r="B297" s="4">
        <v>162.31738896080265</v>
      </c>
      <c r="C297" s="7">
        <v>68.98489030834112</v>
      </c>
    </row>
    <row r="298" spans="1:3" ht="12.75">
      <c r="A298">
        <v>298</v>
      </c>
      <c r="B298" s="4">
        <v>156.21862258426904</v>
      </c>
      <c r="C298" s="7">
        <v>66.39291459831433</v>
      </c>
    </row>
    <row r="299" spans="1:3" ht="12.75">
      <c r="A299">
        <v>299</v>
      </c>
      <c r="B299" s="4">
        <v>150.30562181618984</v>
      </c>
      <c r="C299" s="7">
        <v>63.879889271880685</v>
      </c>
    </row>
    <row r="300" spans="1:3" ht="12.75">
      <c r="A300">
        <v>300</v>
      </c>
      <c r="B300" s="4">
        <v>144.57341652414289</v>
      </c>
      <c r="C300" s="7">
        <v>61.44370202276073</v>
      </c>
    </row>
    <row r="301" spans="1:3" ht="12.75">
      <c r="A301">
        <v>301</v>
      </c>
      <c r="B301" s="4">
        <v>139.02918116201022</v>
      </c>
      <c r="C301" s="7">
        <v>59.08740199385434</v>
      </c>
    </row>
    <row r="302" spans="1:3" ht="12.75">
      <c r="A302">
        <v>302</v>
      </c>
      <c r="B302" s="4">
        <v>133.66406854681895</v>
      </c>
      <c r="C302" s="7">
        <v>56.80722913239806</v>
      </c>
    </row>
    <row r="303" spans="1:3" ht="12.75">
      <c r="A303">
        <v>303</v>
      </c>
      <c r="B303" s="4">
        <v>128.4742671079414</v>
      </c>
      <c r="C303" s="7">
        <v>54.60156352087509</v>
      </c>
    </row>
    <row r="304" spans="1:3" ht="12.75">
      <c r="A304">
        <v>304</v>
      </c>
      <c r="B304" s="4">
        <v>123.46098203138706</v>
      </c>
      <c r="C304" s="7">
        <v>52.4709173633395</v>
      </c>
    </row>
    <row r="305" spans="1:3" ht="12.75">
      <c r="A305">
        <v>305</v>
      </c>
      <c r="B305" s="4">
        <v>118.61285290966816</v>
      </c>
      <c r="C305" s="7">
        <v>50.41046248660897</v>
      </c>
    </row>
    <row r="306" spans="1:3" ht="12.75">
      <c r="A306">
        <v>306</v>
      </c>
      <c r="B306" s="4">
        <v>113.93407589599713</v>
      </c>
      <c r="C306" s="7">
        <v>48.42198225579878</v>
      </c>
    </row>
    <row r="307" spans="1:3" ht="12.75">
      <c r="A307">
        <v>307</v>
      </c>
      <c r="B307" s="4">
        <v>109.41630733344243</v>
      </c>
      <c r="C307" s="7">
        <v>46.50193061671303</v>
      </c>
    </row>
    <row r="308" spans="1:3" ht="12.75">
      <c r="A308">
        <v>308</v>
      </c>
      <c r="B308" s="4">
        <v>105.0562490031158</v>
      </c>
      <c r="C308" s="7">
        <v>44.64890582632421</v>
      </c>
    </row>
    <row r="309" spans="1:3" ht="12.75">
      <c r="A309">
        <v>309</v>
      </c>
      <c r="B309" s="4">
        <v>100.84865511349858</v>
      </c>
      <c r="C309" s="7">
        <v>42.8606784232369</v>
      </c>
    </row>
    <row r="310" spans="1:3" ht="12.75">
      <c r="A310">
        <v>310</v>
      </c>
      <c r="B310" s="4">
        <v>96.79339688565062</v>
      </c>
      <c r="C310" s="7">
        <v>41.13719367640151</v>
      </c>
    </row>
    <row r="311" spans="1:3" ht="12.75">
      <c r="A311">
        <v>311</v>
      </c>
      <c r="B311" s="4">
        <v>92.88495951264076</v>
      </c>
      <c r="C311" s="7">
        <v>39.47610779287233</v>
      </c>
    </row>
    <row r="312" spans="1:3" ht="12.75">
      <c r="A312">
        <v>312</v>
      </c>
      <c r="B312" s="4">
        <v>89.116001622304</v>
      </c>
      <c r="C312" s="7">
        <v>37.8743006894792</v>
      </c>
    </row>
    <row r="313" spans="1:3" ht="12.75">
      <c r="A313">
        <v>313</v>
      </c>
      <c r="B313" s="4">
        <v>85.48795253894093</v>
      </c>
      <c r="C313" s="7">
        <v>36.3323798290499</v>
      </c>
    </row>
    <row r="314" spans="1:3" ht="12.75">
      <c r="A314">
        <v>314</v>
      </c>
      <c r="B314" s="4">
        <v>81.99706558124262</v>
      </c>
      <c r="C314" s="7">
        <v>34.848752872028115</v>
      </c>
    </row>
    <row r="315" spans="1:3" ht="12.75">
      <c r="A315">
        <v>315</v>
      </c>
      <c r="B315" s="4">
        <v>78.62720058508512</v>
      </c>
      <c r="C315" s="7">
        <v>33.41656024866117</v>
      </c>
    </row>
    <row r="316" spans="1:3" ht="12.75">
      <c r="A316">
        <v>316</v>
      </c>
      <c r="B316" s="4">
        <v>75.38888274290548</v>
      </c>
      <c r="C316" s="7">
        <v>32.040275165734826</v>
      </c>
    </row>
    <row r="317" spans="1:3" ht="12.75">
      <c r="A317">
        <v>317</v>
      </c>
      <c r="B317" s="4">
        <v>72.27700644528989</v>
      </c>
      <c r="C317" s="7">
        <v>30.717727739248204</v>
      </c>
    </row>
    <row r="318" spans="1:3" ht="12.75">
      <c r="A318">
        <v>318</v>
      </c>
      <c r="B318" s="4">
        <v>69.28142190837332</v>
      </c>
      <c r="C318" s="7">
        <v>29.44460431105866</v>
      </c>
    </row>
    <row r="319" spans="1:3" ht="12.75">
      <c r="A319">
        <v>319</v>
      </c>
      <c r="B319" s="4">
        <v>66.39762414102995</v>
      </c>
      <c r="C319" s="7">
        <v>28.218990259937726</v>
      </c>
    </row>
    <row r="320" spans="1:3" ht="12.75">
      <c r="A320">
        <v>320</v>
      </c>
      <c r="B320" s="4">
        <v>63.63023254881557</v>
      </c>
      <c r="C320" s="7">
        <v>27.04284883324662</v>
      </c>
    </row>
    <row r="321" spans="1:3" ht="12.75">
      <c r="A321">
        <v>321</v>
      </c>
      <c r="B321" s="4">
        <v>60.96499289793496</v>
      </c>
      <c r="C321" s="7">
        <v>25.91012198162236</v>
      </c>
    </row>
    <row r="322" spans="1:3" ht="12.75">
      <c r="A322">
        <v>322</v>
      </c>
      <c r="B322" s="4">
        <v>58.411003221714395</v>
      </c>
      <c r="C322" s="7">
        <v>24.82467636922862</v>
      </c>
    </row>
    <row r="323" spans="1:3" ht="12.75">
      <c r="A323">
        <v>323</v>
      </c>
      <c r="B323" s="4">
        <v>55.95506084681472</v>
      </c>
      <c r="C323" s="7">
        <v>23.780900859896253</v>
      </c>
    </row>
    <row r="324" spans="1:3" ht="12.75">
      <c r="A324">
        <v>324</v>
      </c>
      <c r="B324" s="4">
        <v>53.58989537586501</v>
      </c>
      <c r="C324" s="7">
        <v>22.775705534742627</v>
      </c>
    </row>
    <row r="325" spans="1:3" ht="12.75">
      <c r="A325">
        <v>325</v>
      </c>
      <c r="B325" s="4">
        <v>51.32820532732171</v>
      </c>
      <c r="C325" s="7">
        <v>21.81448726411173</v>
      </c>
    </row>
    <row r="326" spans="1:3" ht="12.75">
      <c r="A326">
        <v>326</v>
      </c>
      <c r="B326" s="4">
        <v>49.14652937864332</v>
      </c>
      <c r="C326" s="7">
        <v>20.887274985923412</v>
      </c>
    </row>
    <row r="327" spans="1:3" ht="12.75">
      <c r="A327">
        <v>327</v>
      </c>
      <c r="B327" s="4">
        <v>47.062603759783656</v>
      </c>
      <c r="C327" s="7">
        <v>20.00160659790805</v>
      </c>
    </row>
    <row r="328" spans="1:3" ht="12.75">
      <c r="A328">
        <v>328</v>
      </c>
      <c r="B328" s="4">
        <v>45.05812320662881</v>
      </c>
      <c r="C328" s="7">
        <v>19.149702362817244</v>
      </c>
    </row>
    <row r="329" spans="1:3" ht="12.75">
      <c r="A329">
        <v>329</v>
      </c>
      <c r="B329" s="4">
        <v>43.13145496614652</v>
      </c>
      <c r="C329" s="7">
        <v>18.33086836061227</v>
      </c>
    </row>
    <row r="330" spans="1:3" ht="12.75">
      <c r="A330">
        <v>330</v>
      </c>
      <c r="B330" s="4">
        <v>41.287213753298374</v>
      </c>
      <c r="C330" s="7">
        <v>17.54706584515181</v>
      </c>
    </row>
    <row r="331" spans="1:3" ht="12.75">
      <c r="A331">
        <v>331</v>
      </c>
      <c r="B331" s="4">
        <v>39.51515123866602</v>
      </c>
      <c r="C331" s="7">
        <v>16.793939276433054</v>
      </c>
    </row>
    <row r="332" spans="1:3" ht="12.75">
      <c r="A332">
        <v>332</v>
      </c>
      <c r="B332" s="4">
        <v>37.81838874557616</v>
      </c>
      <c r="C332" s="7">
        <v>16.072815216869866</v>
      </c>
    </row>
    <row r="333" spans="1:3" ht="12.75">
      <c r="A333">
        <v>333</v>
      </c>
      <c r="B333" s="4">
        <v>36.18879309845488</v>
      </c>
      <c r="C333" s="7">
        <v>15.380237066843325</v>
      </c>
    </row>
    <row r="334" spans="1:3" ht="12.75">
      <c r="A334">
        <v>334</v>
      </c>
      <c r="B334" s="4">
        <v>34.6281660288505</v>
      </c>
      <c r="C334" s="7">
        <v>14.716970562261464</v>
      </c>
    </row>
    <row r="335" spans="1:3" ht="12.75">
      <c r="A335">
        <v>335</v>
      </c>
      <c r="B335" s="4">
        <v>33.1306822706872</v>
      </c>
      <c r="C335" s="7">
        <v>14.08053996504206</v>
      </c>
    </row>
    <row r="336" spans="1:3" ht="12.75">
      <c r="A336">
        <v>336</v>
      </c>
      <c r="B336" s="4">
        <v>31.69346041282995</v>
      </c>
      <c r="C336" s="7">
        <v>13.469720675452729</v>
      </c>
    </row>
    <row r="337" spans="1:3" ht="12.75">
      <c r="A337">
        <v>337</v>
      </c>
      <c r="B337" s="4">
        <v>30.320153494618353</v>
      </c>
      <c r="C337" s="7">
        <v>12.8860652352128</v>
      </c>
    </row>
    <row r="338" spans="1:3" ht="12.75">
      <c r="A338">
        <v>338</v>
      </c>
      <c r="B338" s="4">
        <v>29.006903241053237</v>
      </c>
      <c r="C338" s="7">
        <v>12.327933877447625</v>
      </c>
    </row>
    <row r="339" spans="1:3" ht="12.75">
      <c r="A339">
        <v>339</v>
      </c>
      <c r="B339" s="4">
        <v>27.742360885834614</v>
      </c>
      <c r="C339" s="7">
        <v>11.79050337647971</v>
      </c>
    </row>
    <row r="340" spans="1:3" ht="12.75">
      <c r="A340">
        <v>340</v>
      </c>
      <c r="B340" s="4">
        <v>26.535875277079754</v>
      </c>
      <c r="C340" s="7">
        <v>11.277746992758896</v>
      </c>
    </row>
    <row r="341" spans="1:3" ht="12.75">
      <c r="A341">
        <v>341</v>
      </c>
      <c r="B341" s="4">
        <v>25.375318690264294</v>
      </c>
      <c r="C341" s="7">
        <v>10.784510443362324</v>
      </c>
    </row>
    <row r="342" spans="1:3" ht="12.75">
      <c r="A342">
        <v>342</v>
      </c>
      <c r="B342" s="4">
        <v>24.26930929366199</v>
      </c>
      <c r="C342" s="7">
        <v>10.314456449806347</v>
      </c>
    </row>
    <row r="343" spans="1:3" ht="12.75">
      <c r="A343">
        <v>343</v>
      </c>
      <c r="B343" s="4">
        <v>23.208557140715584</v>
      </c>
      <c r="C343" s="7">
        <v>9.863636784804124</v>
      </c>
    </row>
    <row r="344" spans="1:3" ht="12.75">
      <c r="A344">
        <v>344</v>
      </c>
      <c r="B344" s="4">
        <v>22.183491716272215</v>
      </c>
      <c r="C344" s="7">
        <v>9.427983979415691</v>
      </c>
    </row>
    <row r="345" spans="1:3" ht="12.75">
      <c r="A345">
        <v>345</v>
      </c>
      <c r="B345" s="4">
        <v>21.2194227758705</v>
      </c>
      <c r="C345" s="7">
        <v>9.018254679744961</v>
      </c>
    </row>
    <row r="346" spans="1:3" ht="12.75">
      <c r="A346">
        <v>346</v>
      </c>
      <c r="B346" s="4">
        <v>20.28166132845797</v>
      </c>
      <c r="C346" s="7">
        <v>8.619706064594638</v>
      </c>
    </row>
    <row r="347" spans="1:3" ht="12.75">
      <c r="A347">
        <v>347</v>
      </c>
      <c r="B347" s="4">
        <v>19.39153246537012</v>
      </c>
      <c r="C347" s="7">
        <v>8.241401297782298</v>
      </c>
    </row>
    <row r="348" spans="1:3" ht="12.75">
      <c r="A348">
        <v>348</v>
      </c>
      <c r="B348" s="4">
        <v>18.535021402918687</v>
      </c>
      <c r="C348" s="7">
        <v>7.877384096240442</v>
      </c>
    </row>
    <row r="349" spans="1:3" ht="12.75">
      <c r="A349">
        <v>349</v>
      </c>
      <c r="B349" s="4">
        <v>17.715508206940626</v>
      </c>
      <c r="C349" s="7">
        <v>7.529090987949766</v>
      </c>
    </row>
    <row r="350" spans="1:3" ht="12.75">
      <c r="A350">
        <v>350</v>
      </c>
      <c r="B350" s="4">
        <v>16.936215014622235</v>
      </c>
      <c r="C350" s="7">
        <v>7.1978913812144505</v>
      </c>
    </row>
    <row r="351" spans="1:3" ht="12.75">
      <c r="A351">
        <v>351</v>
      </c>
      <c r="B351" s="4">
        <v>16.186165581112164</v>
      </c>
      <c r="C351" s="7">
        <v>6.879120371972669</v>
      </c>
    </row>
    <row r="352" spans="1:3" ht="12.75">
      <c r="A352">
        <v>352</v>
      </c>
      <c r="B352" s="4">
        <v>15.468314623740184</v>
      </c>
      <c r="C352" s="7">
        <v>6.57403371508958</v>
      </c>
    </row>
    <row r="353" spans="1:3" ht="12.75">
      <c r="A353">
        <v>353</v>
      </c>
      <c r="B353" s="4">
        <v>14.785518004890037</v>
      </c>
      <c r="C353" s="7">
        <v>6.283845152078266</v>
      </c>
    </row>
    <row r="354" spans="1:3" ht="12.75">
      <c r="A354">
        <v>354</v>
      </c>
      <c r="B354" s="4">
        <v>14.129992030028006</v>
      </c>
      <c r="C354" s="7">
        <v>6.005246612761903</v>
      </c>
    </row>
    <row r="355" spans="1:3" ht="12.75">
      <c r="A355">
        <v>355</v>
      </c>
      <c r="B355" s="4">
        <v>13.500906239761093</v>
      </c>
      <c r="C355" s="7">
        <v>5.737885151898466</v>
      </c>
    </row>
    <row r="356" spans="1:3" ht="12.75">
      <c r="A356">
        <v>356</v>
      </c>
      <c r="B356" s="4">
        <v>12.90088127354693</v>
      </c>
      <c r="C356" s="7">
        <v>5.482874541257444</v>
      </c>
    </row>
    <row r="357" spans="1:3" ht="12.75">
      <c r="A357">
        <v>357</v>
      </c>
      <c r="B357" s="4">
        <v>12.328972893281161</v>
      </c>
      <c r="C357" s="7">
        <v>5.239813479644494</v>
      </c>
    </row>
    <row r="358" spans="1:3" ht="12.75">
      <c r="A358">
        <v>358</v>
      </c>
      <c r="B358" s="4">
        <v>11.78067608799006</v>
      </c>
      <c r="C358" s="7">
        <v>5.006787337395775</v>
      </c>
    </row>
    <row r="359" spans="1:3" ht="12.75">
      <c r="A359">
        <v>359</v>
      </c>
      <c r="B359" s="4">
        <v>11.25497736644786</v>
      </c>
      <c r="C359" s="7">
        <v>4.78336538074034</v>
      </c>
    </row>
    <row r="360" spans="1:3" ht="12.75">
      <c r="A360">
        <v>360</v>
      </c>
      <c r="B360" s="4">
        <v>10.7543572380456</v>
      </c>
      <c r="C360" s="7">
        <v>4.570601826169379</v>
      </c>
    </row>
    <row r="361" spans="1:3" ht="12.75">
      <c r="A361">
        <v>361</v>
      </c>
      <c r="B361" s="4">
        <v>10.274255646031747</v>
      </c>
      <c r="C361" s="7">
        <v>4.366558649563491</v>
      </c>
    </row>
    <row r="362" spans="1:3" ht="12.75">
      <c r="A362">
        <v>362</v>
      </c>
      <c r="B362" s="4">
        <v>9.813626308907828</v>
      </c>
      <c r="C362" s="7">
        <v>4.170791181285827</v>
      </c>
    </row>
    <row r="363" spans="1:3" ht="12.75">
      <c r="A363">
        <v>363</v>
      </c>
      <c r="B363" s="4">
        <v>9.37494451492023</v>
      </c>
      <c r="C363" s="7">
        <v>3.984351418841097</v>
      </c>
    </row>
    <row r="364" spans="1:3" ht="12.75">
      <c r="A364">
        <v>364</v>
      </c>
      <c r="B364" s="4">
        <v>8.957184101961502</v>
      </c>
      <c r="C364" s="7">
        <v>3.8068032433336385</v>
      </c>
    </row>
    <row r="365" spans="1:3" ht="12.75">
      <c r="A365">
        <v>365</v>
      </c>
      <c r="B365" s="4">
        <v>8.55231005750636</v>
      </c>
      <c r="C365" s="7">
        <v>3.634731774440204</v>
      </c>
    </row>
    <row r="366" spans="1:3" ht="12.75">
      <c r="A366">
        <v>366</v>
      </c>
      <c r="B366" s="4">
        <v>8.17340179184248</v>
      </c>
      <c r="C366" s="7">
        <v>3.4736957615330537</v>
      </c>
    </row>
    <row r="367" spans="1:3" ht="12.75">
      <c r="A367">
        <v>367</v>
      </c>
      <c r="B367" s="4">
        <v>7.805453011538134</v>
      </c>
      <c r="C367" s="7">
        <v>3.317317529903707</v>
      </c>
    </row>
    <row r="368" spans="1:3" ht="12.75">
      <c r="A368">
        <v>368</v>
      </c>
      <c r="B368" s="4">
        <v>7.458100093860253</v>
      </c>
      <c r="C368" s="7">
        <v>3.1696925398906073</v>
      </c>
    </row>
    <row r="369" spans="1:3" ht="12.75">
      <c r="A369">
        <v>369</v>
      </c>
      <c r="B369" s="4">
        <v>7.1199302486506895</v>
      </c>
      <c r="C369" s="7">
        <v>3.025970355676543</v>
      </c>
    </row>
    <row r="370" spans="1:3" ht="12.75">
      <c r="A370">
        <v>370</v>
      </c>
      <c r="B370" s="4">
        <v>6.800668490518092</v>
      </c>
      <c r="C370" s="7">
        <v>2.890284108470189</v>
      </c>
    </row>
    <row r="371" spans="1:3" ht="12.75">
      <c r="A371">
        <v>371</v>
      </c>
      <c r="B371" s="4">
        <v>6.496029216322313</v>
      </c>
      <c r="C371" s="7">
        <v>2.760812416936983</v>
      </c>
    </row>
    <row r="372" spans="1:3" ht="12.75">
      <c r="A372">
        <v>372</v>
      </c>
      <c r="B372" s="4">
        <v>6.205295904484274</v>
      </c>
      <c r="C372" s="7">
        <v>2.637250759405816</v>
      </c>
    </row>
    <row r="373" spans="1:3" ht="12.75">
      <c r="A373">
        <v>373</v>
      </c>
      <c r="B373" s="4">
        <v>5.920778288084421</v>
      </c>
      <c r="C373" s="7">
        <v>2.5163307724358788</v>
      </c>
    </row>
    <row r="374" spans="1:3" ht="12.75">
      <c r="A374">
        <v>374</v>
      </c>
      <c r="B374" s="4">
        <v>5.655937821468683</v>
      </c>
      <c r="C374" s="7">
        <v>2.4037735741241906</v>
      </c>
    </row>
    <row r="375" spans="1:3" ht="12.75">
      <c r="A375">
        <v>375</v>
      </c>
      <c r="B375" s="4">
        <v>5.403204628570393</v>
      </c>
      <c r="C375" s="7">
        <v>2.2963619671424165</v>
      </c>
    </row>
    <row r="376" spans="1:3" ht="12.75">
      <c r="A376">
        <v>376</v>
      </c>
      <c r="B376" s="4">
        <v>5.162105664738874</v>
      </c>
      <c r="C376" s="7">
        <v>2.193894907514022</v>
      </c>
    </row>
    <row r="377" spans="1:3" ht="12.75">
      <c r="A377">
        <v>377</v>
      </c>
      <c r="B377" s="4">
        <v>4.925202742329475</v>
      </c>
      <c r="C377" s="7">
        <v>2.0932111654900267</v>
      </c>
    </row>
    <row r="378" spans="1:3" ht="12.75">
      <c r="A378">
        <v>378</v>
      </c>
      <c r="B378" s="4">
        <v>4.702701519833795</v>
      </c>
      <c r="C378" s="7">
        <v>1.9986481459293628</v>
      </c>
    </row>
    <row r="379" spans="1:3" ht="12.75">
      <c r="A379">
        <v>379</v>
      </c>
      <c r="B379" s="4">
        <v>4.4908156854429535</v>
      </c>
      <c r="C379" s="7">
        <v>1.9085966663132554</v>
      </c>
    </row>
    <row r="380" spans="1:3" ht="12.75">
      <c r="A380">
        <v>380</v>
      </c>
      <c r="B380" s="4">
        <v>4.289344398239223</v>
      </c>
      <c r="C380" s="7">
        <v>1.8229713692516698</v>
      </c>
    </row>
    <row r="381" spans="1:3" ht="12.75">
      <c r="A381">
        <v>381</v>
      </c>
      <c r="B381" s="4">
        <v>4.091127463050157</v>
      </c>
      <c r="C381" s="7">
        <v>1.7387291717963167</v>
      </c>
    </row>
    <row r="382" spans="1:3" ht="12.75">
      <c r="A382">
        <v>382</v>
      </c>
      <c r="B382" s="4">
        <v>3.910167685798683</v>
      </c>
      <c r="C382" s="7">
        <v>1.6618212664644403</v>
      </c>
    </row>
    <row r="383" spans="1:3" ht="12.75">
      <c r="A383">
        <v>383</v>
      </c>
      <c r="B383" s="4">
        <v>3.7324186367269476</v>
      </c>
      <c r="C383" s="7">
        <v>1.5862779206089526</v>
      </c>
    </row>
    <row r="384" spans="1:3" ht="12.75">
      <c r="A384">
        <v>384</v>
      </c>
      <c r="B384" s="4">
        <v>3.5649976830852665</v>
      </c>
      <c r="C384" s="7">
        <v>1.5151240153112382</v>
      </c>
    </row>
    <row r="385" spans="1:3" ht="12.75">
      <c r="A385">
        <v>385</v>
      </c>
      <c r="B385" s="4">
        <v>3.408064828311126</v>
      </c>
      <c r="C385" s="7">
        <v>1.4484275520322285</v>
      </c>
    </row>
    <row r="386" spans="1:3" ht="12.75">
      <c r="A386">
        <v>386</v>
      </c>
      <c r="B386" s="4">
        <v>3.247792012231571</v>
      </c>
      <c r="C386" s="7">
        <v>1.3803116051984174</v>
      </c>
    </row>
    <row r="387" spans="1:3" ht="12.75">
      <c r="A387">
        <v>387</v>
      </c>
      <c r="B387" s="4">
        <v>3.1020614836227196</v>
      </c>
      <c r="C387" s="7">
        <v>1.3183761305396557</v>
      </c>
    </row>
    <row r="388" spans="1:3" ht="12.75">
      <c r="A388">
        <v>388</v>
      </c>
      <c r="B388" s="4">
        <v>2.9642205425776638</v>
      </c>
      <c r="C388" s="7">
        <v>1.259793730595507</v>
      </c>
    </row>
    <row r="389" spans="1:3" ht="12.75">
      <c r="A389">
        <v>389</v>
      </c>
      <c r="B389" s="4">
        <v>2.8241747595026254</v>
      </c>
      <c r="C389" s="7">
        <v>1.2002742727886158</v>
      </c>
    </row>
    <row r="390" spans="1:3" ht="12.75">
      <c r="A390">
        <v>390</v>
      </c>
      <c r="B390" s="4">
        <v>2.700023035778827</v>
      </c>
      <c r="C390" s="7">
        <v>1.1475097902060016</v>
      </c>
    </row>
    <row r="391" spans="1:3" ht="12.75">
      <c r="A391">
        <v>391</v>
      </c>
      <c r="B391" s="4">
        <v>2.5782988021145457</v>
      </c>
      <c r="C391" s="7">
        <v>1.095776990898682</v>
      </c>
    </row>
    <row r="392" spans="1:3" ht="12.75">
      <c r="A392">
        <v>392</v>
      </c>
      <c r="B392" s="4">
        <v>2.4596672155873875</v>
      </c>
      <c r="C392" s="7">
        <v>1.0453585666246397</v>
      </c>
    </row>
    <row r="393" spans="1:3" ht="12.75">
      <c r="A393">
        <v>393</v>
      </c>
      <c r="B393" s="4">
        <v>2.3518940277793945</v>
      </c>
      <c r="C393" s="7">
        <v>0.9995549618062427</v>
      </c>
    </row>
    <row r="394" spans="1:3" ht="12.75">
      <c r="A394">
        <v>394</v>
      </c>
      <c r="B394" s="4">
        <v>2.241723186680588</v>
      </c>
      <c r="C394" s="7">
        <v>0.9527323543392499</v>
      </c>
    </row>
    <row r="395" spans="1:3" ht="12.75">
      <c r="A395">
        <v>395</v>
      </c>
      <c r="B395" s="4">
        <v>2.1405737781082053</v>
      </c>
      <c r="C395" s="7">
        <v>0.9097438556959873</v>
      </c>
    </row>
    <row r="396" spans="1:3" ht="12.75">
      <c r="A396">
        <v>396</v>
      </c>
      <c r="B396" s="4">
        <v>2.0423566497485126</v>
      </c>
      <c r="C396" s="7">
        <v>0.8680015761431179</v>
      </c>
    </row>
    <row r="397" spans="1:3" ht="12.75">
      <c r="A397">
        <v>397</v>
      </c>
      <c r="B397" s="4">
        <v>1.948079895442902</v>
      </c>
      <c r="C397" s="7">
        <v>0.8279339555632333</v>
      </c>
    </row>
    <row r="398" spans="1:3" ht="12.75">
      <c r="A398">
        <v>398</v>
      </c>
      <c r="B398" s="4">
        <v>1.8623327021684872</v>
      </c>
      <c r="C398" s="7">
        <v>0.7914913984216071</v>
      </c>
    </row>
    <row r="399" spans="1:3" ht="12.75">
      <c r="A399">
        <v>399</v>
      </c>
      <c r="B399" s="4">
        <v>1.7757083976824788</v>
      </c>
      <c r="C399" s="7">
        <v>0.7546760690150535</v>
      </c>
    </row>
    <row r="400" spans="1:3" ht="12.75">
      <c r="A400">
        <v>400</v>
      </c>
      <c r="B400" s="4">
        <v>1.6964401793666184</v>
      </c>
      <c r="C400" s="7">
        <v>0.7209870762308128</v>
      </c>
    </row>
    <row r="401" spans="1:3" ht="12.75">
      <c r="A401">
        <v>401</v>
      </c>
      <c r="B401" s="4">
        <v>1.6152480136117902</v>
      </c>
      <c r="C401" s="7">
        <v>0.6864804057850108</v>
      </c>
    </row>
    <row r="402" spans="1:3" ht="12.75">
      <c r="A402">
        <v>402</v>
      </c>
      <c r="B402" s="4">
        <v>1.5475200304006194</v>
      </c>
      <c r="C402" s="7">
        <v>0.6576960129202633</v>
      </c>
    </row>
    <row r="403" spans="1:3" ht="12.75">
      <c r="A403">
        <v>403</v>
      </c>
      <c r="B403" s="4">
        <v>1.4735528455272515</v>
      </c>
      <c r="C403" s="7">
        <v>0.6262599593490819</v>
      </c>
    </row>
    <row r="404" spans="1:3" ht="12.75">
      <c r="A404">
        <v>404</v>
      </c>
      <c r="B404" s="4">
        <v>1.4053395292196456</v>
      </c>
      <c r="C404" s="7">
        <v>0.5972692999183493</v>
      </c>
    </row>
    <row r="405" spans="1:3" ht="12.75">
      <c r="A405">
        <v>405</v>
      </c>
      <c r="B405" s="4">
        <v>1.3479010254517334</v>
      </c>
      <c r="C405" s="7">
        <v>0.5728579358169867</v>
      </c>
    </row>
    <row r="406" spans="1:3" ht="12.75">
      <c r="A406">
        <v>406</v>
      </c>
      <c r="B406" s="4">
        <v>1.281708731338199</v>
      </c>
      <c r="C406" s="7">
        <v>0.5447262108187345</v>
      </c>
    </row>
    <row r="407" spans="1:3" ht="12.75">
      <c r="A407">
        <v>407</v>
      </c>
      <c r="B407" s="4">
        <v>1.2224423508516793</v>
      </c>
      <c r="C407" s="7">
        <v>0.5195379991119637</v>
      </c>
    </row>
    <row r="408" spans="1:3" ht="12.75">
      <c r="A408">
        <v>408</v>
      </c>
      <c r="B408" s="4">
        <v>1.1682604040114484</v>
      </c>
      <c r="C408" s="7">
        <v>0.49651067170486557</v>
      </c>
    </row>
    <row r="409" spans="1:3" ht="12.75">
      <c r="A409">
        <v>409</v>
      </c>
      <c r="B409" s="4">
        <v>1.1138597134081465</v>
      </c>
      <c r="C409" s="7">
        <v>0.47339037819846225</v>
      </c>
    </row>
    <row r="410" spans="1:3" ht="12.75">
      <c r="A410">
        <v>410</v>
      </c>
      <c r="B410" s="4">
        <v>1.0610200119114097</v>
      </c>
      <c r="C410" s="7">
        <v>0.45093350506234914</v>
      </c>
    </row>
    <row r="411" spans="1:3" ht="12.75">
      <c r="A411">
        <v>411</v>
      </c>
      <c r="B411" s="4">
        <v>1.0150876046734538</v>
      </c>
      <c r="C411" s="7">
        <v>0.43141223198621786</v>
      </c>
    </row>
    <row r="412" spans="1:3" ht="12.75">
      <c r="A412">
        <v>412</v>
      </c>
      <c r="B412" s="4">
        <v>0.9709132150568394</v>
      </c>
      <c r="C412" s="7">
        <v>0.4126381163991567</v>
      </c>
    </row>
    <row r="413" spans="1:3" ht="12.75">
      <c r="A413">
        <v>413</v>
      </c>
      <c r="B413" s="4">
        <v>0.9269116524212677</v>
      </c>
      <c r="C413" s="7">
        <v>0.39393745227903876</v>
      </c>
    </row>
    <row r="414" spans="1:3" ht="12.75">
      <c r="A414">
        <v>414</v>
      </c>
      <c r="B414" s="4">
        <v>0.8815457049162205</v>
      </c>
      <c r="C414" s="7">
        <v>0.3746569245893937</v>
      </c>
    </row>
    <row r="415" spans="1:3" ht="12.75">
      <c r="A415">
        <v>415</v>
      </c>
      <c r="B415" s="4">
        <v>0.8403550701355016</v>
      </c>
      <c r="C415" s="7">
        <v>0.35715090480758815</v>
      </c>
    </row>
    <row r="416" spans="1:3" ht="12.75">
      <c r="A416">
        <v>416</v>
      </c>
      <c r="B416" s="4">
        <v>0.8054097700742204</v>
      </c>
      <c r="C416" s="7">
        <v>0.3422991522815437</v>
      </c>
    </row>
    <row r="417" spans="1:3" ht="12.75">
      <c r="A417">
        <v>417</v>
      </c>
      <c r="B417" s="4">
        <v>0.7682785626008126</v>
      </c>
      <c r="C417" s="7">
        <v>0.32651838910534536</v>
      </c>
    </row>
    <row r="418" spans="1:3" ht="12.75">
      <c r="A418">
        <v>418</v>
      </c>
      <c r="B418" s="4">
        <v>0.7346342967281316</v>
      </c>
      <c r="C418" s="7">
        <v>0.31221957610945594</v>
      </c>
    </row>
    <row r="419" spans="1:3" ht="12.75">
      <c r="A419">
        <v>419</v>
      </c>
      <c r="B419" s="4">
        <v>0.6996463959419543</v>
      </c>
      <c r="C419" s="7">
        <v>0.2973497182753306</v>
      </c>
    </row>
    <row r="420" spans="1:3" ht="12.75">
      <c r="A420">
        <v>420</v>
      </c>
      <c r="B420" s="4">
        <v>0.6690708914775314</v>
      </c>
      <c r="C420" s="7">
        <v>0.28435512887795084</v>
      </c>
    </row>
    <row r="421" spans="1:3" ht="12.75">
      <c r="A421">
        <v>421</v>
      </c>
      <c r="B421" s="4">
        <v>0.638158201071974</v>
      </c>
      <c r="C421" s="7">
        <v>0.27121723545558896</v>
      </c>
    </row>
    <row r="422" spans="1:3" ht="12.75">
      <c r="A422">
        <v>422</v>
      </c>
      <c r="B422" s="4">
        <v>0.6092280763060671</v>
      </c>
      <c r="C422" s="7">
        <v>0.25892193243007855</v>
      </c>
    </row>
    <row r="423" spans="1:3" ht="12.75">
      <c r="A423">
        <v>423</v>
      </c>
      <c r="B423" s="4">
        <v>0.5776077076938009</v>
      </c>
      <c r="C423" s="7">
        <v>0.24548327576986537</v>
      </c>
    </row>
    <row r="424" spans="1:3" ht="12.75">
      <c r="A424">
        <v>424</v>
      </c>
      <c r="B424" s="4">
        <v>0.5527220247673768</v>
      </c>
      <c r="C424" s="7">
        <v>0.23490686052613513</v>
      </c>
    </row>
    <row r="425" spans="1:3" ht="12.75">
      <c r="A425">
        <v>425</v>
      </c>
      <c r="B425" s="4">
        <v>0.5264557492829454</v>
      </c>
      <c r="C425" s="7">
        <v>0.22374369344525177</v>
      </c>
    </row>
    <row r="426" spans="1:3" ht="12.75">
      <c r="A426">
        <v>426</v>
      </c>
      <c r="B426" s="4">
        <v>0.5047892514135128</v>
      </c>
      <c r="C426" s="7">
        <v>0.21453543185074295</v>
      </c>
    </row>
    <row r="427" spans="1:3" ht="12.75">
      <c r="A427">
        <v>427</v>
      </c>
      <c r="B427" s="4">
        <v>0.47616075114342493</v>
      </c>
      <c r="C427" s="7">
        <v>0.2023683192359556</v>
      </c>
    </row>
    <row r="428" spans="1:3" ht="12.75">
      <c r="A428">
        <v>428</v>
      </c>
      <c r="B428" s="4">
        <v>0.460678352236755</v>
      </c>
      <c r="C428" s="7">
        <v>0.1957882997006209</v>
      </c>
    </row>
    <row r="429" spans="1:3" ht="12.75">
      <c r="A429">
        <v>429</v>
      </c>
      <c r="B429" s="4">
        <v>0.4362995509567327</v>
      </c>
      <c r="C429" s="7">
        <v>0.18542730915661138</v>
      </c>
    </row>
    <row r="430" spans="1:3" ht="12.75">
      <c r="A430">
        <v>430</v>
      </c>
      <c r="B430" s="4">
        <v>0.4161650526543781</v>
      </c>
      <c r="C430" s="7">
        <v>0.1768701473781107</v>
      </c>
    </row>
    <row r="431" spans="1:3" ht="12.75">
      <c r="A431">
        <v>431</v>
      </c>
      <c r="B431" s="4">
        <v>0.3993849347767764</v>
      </c>
      <c r="C431" s="7">
        <v>0.16973859728012997</v>
      </c>
    </row>
    <row r="432" spans="1:3" ht="12.75">
      <c r="A432">
        <v>432</v>
      </c>
      <c r="B432" s="4">
        <v>0.38158333282058265</v>
      </c>
      <c r="C432" s="7">
        <v>0.16217291644874762</v>
      </c>
    </row>
    <row r="433" spans="1:3" ht="12.75">
      <c r="A433">
        <v>433</v>
      </c>
      <c r="B433" s="4">
        <v>0.365443274304198</v>
      </c>
      <c r="C433" s="7">
        <v>0.15531339157928414</v>
      </c>
    </row>
    <row r="434" spans="1:3" ht="12.75">
      <c r="A434">
        <v>434</v>
      </c>
      <c r="B434" s="4">
        <v>0.3466449131930176</v>
      </c>
      <c r="C434" s="7">
        <v>0.14732408810703249</v>
      </c>
    </row>
    <row r="435" spans="1:3" ht="12.75">
      <c r="A435">
        <v>435</v>
      </c>
      <c r="B435" s="4">
        <v>0.33495607332611144</v>
      </c>
      <c r="C435" s="7">
        <v>0.14235633116359736</v>
      </c>
    </row>
    <row r="436" spans="1:3" ht="12.75">
      <c r="A436">
        <v>436</v>
      </c>
      <c r="B436" s="4">
        <v>0.31556414015506107</v>
      </c>
      <c r="C436" s="7">
        <v>0.13411475956590097</v>
      </c>
    </row>
    <row r="437" spans="1:3" ht="12.75">
      <c r="A437">
        <v>437</v>
      </c>
      <c r="B437" s="4">
        <v>0.30180324258253677</v>
      </c>
      <c r="C437" s="7">
        <v>0.12826637809757813</v>
      </c>
    </row>
    <row r="438" spans="1:3" ht="12.75">
      <c r="A438">
        <v>438</v>
      </c>
      <c r="B438" s="4">
        <v>0.2859408822852174</v>
      </c>
      <c r="C438" s="7">
        <v>0.1215248749712174</v>
      </c>
    </row>
    <row r="439" spans="1:3" ht="12.75">
      <c r="A439">
        <v>439</v>
      </c>
      <c r="B439" s="4">
        <v>0.27432891525836567</v>
      </c>
      <c r="C439" s="7">
        <v>0.1165897889848054</v>
      </c>
    </row>
    <row r="440" spans="1:3" ht="12.75">
      <c r="A440">
        <v>440</v>
      </c>
      <c r="B440" s="4">
        <v>0.2592814024750396</v>
      </c>
      <c r="C440" s="7">
        <v>0.11019459605189183</v>
      </c>
    </row>
    <row r="441" spans="1:3" ht="12.75">
      <c r="A441">
        <v>441</v>
      </c>
      <c r="B441" s="4">
        <v>0.25071069786588396</v>
      </c>
      <c r="C441" s="7">
        <v>0.10655204659300069</v>
      </c>
    </row>
    <row r="442" spans="1:3" ht="12.75">
      <c r="A442">
        <v>442</v>
      </c>
      <c r="B442" s="4">
        <v>0.2409746703115161</v>
      </c>
      <c r="C442" s="7">
        <v>0.10241423488239434</v>
      </c>
    </row>
    <row r="443" spans="1:3" ht="12.75">
      <c r="A443">
        <v>443</v>
      </c>
      <c r="B443" s="4">
        <v>0.22596729294377838</v>
      </c>
      <c r="C443" s="7">
        <v>0.09603609950110581</v>
      </c>
    </row>
    <row r="444" spans="1:3" ht="12.75">
      <c r="A444">
        <v>444</v>
      </c>
      <c r="B444" s="4">
        <v>0.21566364026148221</v>
      </c>
      <c r="C444" s="7">
        <v>0.09165704711112994</v>
      </c>
    </row>
    <row r="445" spans="1:3" ht="12.75">
      <c r="A445">
        <v>445</v>
      </c>
      <c r="B445" s="4">
        <v>0.20951265651888207</v>
      </c>
      <c r="C445" s="7">
        <v>0.08904287902052488</v>
      </c>
    </row>
    <row r="446" spans="1:3" ht="12.75">
      <c r="A446">
        <v>446</v>
      </c>
      <c r="B446" s="4">
        <v>0.19643676639407204</v>
      </c>
      <c r="C446" s="7">
        <v>0.08348562571748061</v>
      </c>
    </row>
    <row r="447" spans="1:3" ht="12.75">
      <c r="A447">
        <v>447</v>
      </c>
      <c r="B447" s="4">
        <v>0.18646794010965095</v>
      </c>
      <c r="C447" s="7">
        <v>0.07924887454660165</v>
      </c>
    </row>
    <row r="448" spans="1:3" ht="12.75">
      <c r="A448">
        <v>448</v>
      </c>
      <c r="B448" s="4">
        <v>0.17911034698533967</v>
      </c>
      <c r="C448" s="7">
        <v>0.07612189746876936</v>
      </c>
    </row>
    <row r="449" spans="1:3" ht="12.75">
      <c r="A449">
        <v>449</v>
      </c>
      <c r="B449" s="4">
        <v>0.1738853015042423</v>
      </c>
      <c r="C449" s="7">
        <v>0.07390125313930299</v>
      </c>
    </row>
    <row r="450" spans="1:3" ht="12.75">
      <c r="A450">
        <v>450</v>
      </c>
      <c r="B450" s="4">
        <v>0.16330047125711644</v>
      </c>
      <c r="C450" s="7">
        <v>0.06940270028427449</v>
      </c>
    </row>
    <row r="451" spans="1:3" ht="12.75">
      <c r="A451">
        <v>451</v>
      </c>
      <c r="B451" s="4">
        <v>0.15745557880757133</v>
      </c>
      <c r="C451" s="7">
        <v>0.06691862099321781</v>
      </c>
    </row>
    <row r="452" spans="1:3" ht="12.75">
      <c r="A452">
        <v>452</v>
      </c>
      <c r="B452" s="4">
        <v>0.1488899907949417</v>
      </c>
      <c r="C452" s="7">
        <v>0.06327824608785022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D30"/>
  <sheetViews>
    <sheetView zoomScale="87" zoomScaleNormal="87" workbookViewId="0" topLeftCell="A1">
      <selection activeCell="D25" sqref="D25"/>
    </sheetView>
  </sheetViews>
  <sheetFormatPr defaultColWidth="11.421875" defaultRowHeight="12.75"/>
  <cols>
    <col min="1" max="1" width="33.8515625" style="0" customWidth="1"/>
    <col min="2" max="3" width="11.421875" style="175" customWidth="1"/>
    <col min="4" max="4" width="13.28125" style="0" customWidth="1"/>
  </cols>
  <sheetData>
    <row r="1" ht="15.75">
      <c r="A1" s="3" t="s">
        <v>1068</v>
      </c>
    </row>
    <row r="3" ht="12.75">
      <c r="A3" t="s">
        <v>1082</v>
      </c>
    </row>
    <row r="4" ht="12.75">
      <c r="A4" t="s">
        <v>1083</v>
      </c>
    </row>
    <row r="5" ht="12.75">
      <c r="A5" t="s">
        <v>1084</v>
      </c>
    </row>
    <row r="6" ht="12.75">
      <c r="A6" t="s">
        <v>1088</v>
      </c>
    </row>
    <row r="7" ht="12.75">
      <c r="A7" t="s">
        <v>1089</v>
      </c>
    </row>
    <row r="8" ht="12.75">
      <c r="A8" t="s">
        <v>1085</v>
      </c>
    </row>
    <row r="9" ht="12.75">
      <c r="A9" t="s">
        <v>1098</v>
      </c>
    </row>
    <row r="10" ht="12.75">
      <c r="A10" s="96" t="s">
        <v>178</v>
      </c>
    </row>
    <row r="11" spans="1:3" ht="12.75">
      <c r="A11" s="551" t="s">
        <v>1087</v>
      </c>
      <c r="B11" s="382"/>
      <c r="C11" s="382"/>
    </row>
    <row r="13" ht="13.5" thickBot="1"/>
    <row r="14" spans="1:4" ht="15.75">
      <c r="A14" s="576" t="s">
        <v>862</v>
      </c>
      <c r="B14" s="577" t="s">
        <v>67</v>
      </c>
      <c r="C14" s="577" t="s">
        <v>1</v>
      </c>
      <c r="D14" s="578" t="s">
        <v>30</v>
      </c>
    </row>
    <row r="15" spans="1:4" ht="16.5" thickBot="1">
      <c r="A15" s="579" t="s">
        <v>1086</v>
      </c>
      <c r="B15" s="580"/>
      <c r="C15" s="580"/>
      <c r="D15" s="581" t="s">
        <v>1095</v>
      </c>
    </row>
    <row r="16" spans="1:4" ht="18.75">
      <c r="A16" s="582" t="s">
        <v>1080</v>
      </c>
      <c r="B16" s="583" t="s">
        <v>156</v>
      </c>
      <c r="C16" s="584" t="s">
        <v>1129</v>
      </c>
      <c r="D16" s="585">
        <f>IF($D$15="A",'Fall A'!$D$8,'Fall B'!$D$8)</f>
        <v>1700</v>
      </c>
    </row>
    <row r="17" spans="1:4" ht="15.75">
      <c r="A17" s="586" t="s">
        <v>1069</v>
      </c>
      <c r="B17" s="587" t="s">
        <v>413</v>
      </c>
      <c r="C17" s="588" t="s">
        <v>4</v>
      </c>
      <c r="D17" s="589">
        <v>40</v>
      </c>
    </row>
    <row r="18" spans="1:4" ht="15.75">
      <c r="A18" s="590" t="s">
        <v>17</v>
      </c>
      <c r="B18" s="591" t="s">
        <v>171</v>
      </c>
      <c r="C18" s="592" t="s">
        <v>18</v>
      </c>
      <c r="D18" s="585">
        <f>IF($D$15="A",'Fall A'!$D$25,'Fall B'!$D$27)</f>
        <v>250</v>
      </c>
    </row>
    <row r="19" spans="1:4" ht="18.75">
      <c r="A19" s="590" t="s">
        <v>1128</v>
      </c>
      <c r="B19" s="591" t="s">
        <v>1130</v>
      </c>
      <c r="C19" s="593" t="s">
        <v>1131</v>
      </c>
      <c r="D19" s="585">
        <f>IF($D$15="A",'Fall A'!$D$72,'Fall B'!$D$97)</f>
        <v>549.8978896917812</v>
      </c>
    </row>
    <row r="20" spans="1:4" ht="18.75">
      <c r="A20" s="590" t="s">
        <v>244</v>
      </c>
      <c r="B20" s="591" t="s">
        <v>1132</v>
      </c>
      <c r="C20" s="592" t="s">
        <v>233</v>
      </c>
      <c r="D20" s="594">
        <f>IF($D$15="A",'Fall A'!$D$76,'Fall B'!$D$101)</f>
        <v>233.70660311900699</v>
      </c>
    </row>
    <row r="21" spans="1:4" ht="18.75">
      <c r="A21" s="590" t="s">
        <v>243</v>
      </c>
      <c r="B21" s="591" t="s">
        <v>1133</v>
      </c>
      <c r="C21" s="592" t="s">
        <v>233</v>
      </c>
      <c r="D21" s="594">
        <f>IF($D$15="A",'Fall A'!$D$79,'Fall B'!$D$104)</f>
        <v>148.0237320524372</v>
      </c>
    </row>
    <row r="22" spans="1:4" ht="20.25">
      <c r="A22" s="595" t="s">
        <v>1092</v>
      </c>
      <c r="B22" s="596" t="s">
        <v>1134</v>
      </c>
      <c r="C22" s="597" t="s">
        <v>1135</v>
      </c>
      <c r="D22" s="598">
        <f>D16*D18/1000</f>
        <v>425</v>
      </c>
    </row>
    <row r="23" spans="1:4" ht="18.75">
      <c r="A23" s="586" t="s">
        <v>1070</v>
      </c>
      <c r="B23" s="587" t="s">
        <v>1136</v>
      </c>
      <c r="C23" s="588" t="s">
        <v>4</v>
      </c>
      <c r="D23" s="589">
        <v>0.5</v>
      </c>
    </row>
    <row r="24" spans="1:4" ht="15.75">
      <c r="A24" s="586" t="s">
        <v>1072</v>
      </c>
      <c r="B24" s="587" t="s">
        <v>1073</v>
      </c>
      <c r="C24" s="588" t="s">
        <v>1081</v>
      </c>
      <c r="D24" s="624">
        <v>0.001</v>
      </c>
    </row>
    <row r="25" spans="1:4" ht="15.75">
      <c r="A25" s="586" t="s">
        <v>1071</v>
      </c>
      <c r="B25" s="587" t="s">
        <v>1074</v>
      </c>
      <c r="C25" s="588"/>
      <c r="D25" s="624">
        <v>0.001</v>
      </c>
    </row>
    <row r="26" spans="1:4" ht="15.75">
      <c r="A26" s="595" t="s">
        <v>1075</v>
      </c>
      <c r="B26" s="596" t="s">
        <v>1079</v>
      </c>
      <c r="C26" s="597" t="s">
        <v>21</v>
      </c>
      <c r="D26" s="599">
        <f>D24*D25*3600*24*365</f>
        <v>31.536</v>
      </c>
    </row>
    <row r="27" spans="1:4" ht="20.25">
      <c r="A27" s="595" t="s">
        <v>1076</v>
      </c>
      <c r="B27" s="596" t="s">
        <v>1137</v>
      </c>
      <c r="C27" s="597" t="s">
        <v>1135</v>
      </c>
      <c r="D27" s="599">
        <f>D17*D23*D26</f>
        <v>630.72</v>
      </c>
    </row>
    <row r="28" spans="1:4" ht="18.75">
      <c r="A28" s="600" t="s">
        <v>1077</v>
      </c>
      <c r="B28" s="601" t="s">
        <v>1138</v>
      </c>
      <c r="C28" s="602" t="s">
        <v>1139</v>
      </c>
      <c r="D28" s="603">
        <f>D20/(D$27+D$22)*1000</f>
        <v>221.371768195172</v>
      </c>
    </row>
    <row r="29" spans="1:4" ht="18.75">
      <c r="A29" s="600" t="s">
        <v>1078</v>
      </c>
      <c r="B29" s="601" t="s">
        <v>1140</v>
      </c>
      <c r="C29" s="602" t="s">
        <v>1139</v>
      </c>
      <c r="D29" s="603">
        <f>D21/(D$27+D$22)*1000</f>
        <v>140.21116588909672</v>
      </c>
    </row>
    <row r="30" spans="1:4" ht="19.5" thickBot="1">
      <c r="A30" s="604" t="s">
        <v>1142</v>
      </c>
      <c r="B30" s="605" t="s">
        <v>1141</v>
      </c>
      <c r="C30" s="606" t="s">
        <v>570</v>
      </c>
      <c r="D30" s="607">
        <f>D19/D28</f>
        <v>2.4840470588235295</v>
      </c>
    </row>
  </sheetData>
  <sheetProtection password="9C67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J24"/>
  <sheetViews>
    <sheetView workbookViewId="0" topLeftCell="A1">
      <selection activeCell="A21" sqref="A21"/>
    </sheetView>
  </sheetViews>
  <sheetFormatPr defaultColWidth="11.421875" defaultRowHeight="12.75"/>
  <cols>
    <col min="1" max="1" width="18.421875" style="36" customWidth="1"/>
    <col min="2" max="2" width="10.28125" style="36" customWidth="1"/>
    <col min="3" max="3" width="8.8515625" style="36" hidden="1" customWidth="1"/>
    <col min="4" max="4" width="9.7109375" style="36" hidden="1" customWidth="1"/>
    <col min="5" max="5" width="17.140625" style="36" customWidth="1"/>
    <col min="6" max="6" width="7.8515625" style="36" customWidth="1"/>
    <col min="7" max="7" width="7.8515625" style="36" hidden="1" customWidth="1"/>
    <col min="8" max="8" width="20.00390625" style="36" customWidth="1"/>
    <col min="9" max="9" width="11.421875" style="419" hidden="1" customWidth="1"/>
    <col min="10" max="10" width="14.28125" style="36" customWidth="1"/>
    <col min="11" max="16384" width="11.421875" style="36" customWidth="1"/>
  </cols>
  <sheetData>
    <row r="1" ht="18">
      <c r="A1" s="40" t="s">
        <v>1099</v>
      </c>
    </row>
    <row r="2" ht="12.75">
      <c r="A2" s="36" t="s">
        <v>1100</v>
      </c>
    </row>
    <row r="3" ht="12.75">
      <c r="A3" s="45" t="s">
        <v>1049</v>
      </c>
    </row>
    <row r="4" ht="12.75">
      <c r="A4" s="36" t="s">
        <v>1090</v>
      </c>
    </row>
    <row r="5" ht="12.75">
      <c r="A5" s="36" t="s">
        <v>1091</v>
      </c>
    </row>
    <row r="6" spans="1:2" ht="12.75">
      <c r="A6" s="41" t="s">
        <v>178</v>
      </c>
      <c r="B6" s="463"/>
    </row>
    <row r="8" ht="13.5" thickBot="1">
      <c r="A8" s="36" t="s">
        <v>1050</v>
      </c>
    </row>
    <row r="9" spans="1:9" ht="12.75">
      <c r="A9" s="627" t="s">
        <v>1031</v>
      </c>
      <c r="B9" s="626"/>
      <c r="C9" s="420"/>
      <c r="D9" s="420"/>
      <c r="E9" s="625" t="s">
        <v>1036</v>
      </c>
      <c r="F9" s="626"/>
      <c r="G9" s="421"/>
      <c r="H9" s="422" t="s">
        <v>1037</v>
      </c>
      <c r="I9" s="423"/>
    </row>
    <row r="10" spans="1:9" ht="12.75">
      <c r="A10" s="424" t="s">
        <v>1026</v>
      </c>
      <c r="B10" s="425" t="s">
        <v>67</v>
      </c>
      <c r="C10" s="426"/>
      <c r="D10" s="426"/>
      <c r="E10" s="427" t="s">
        <v>1026</v>
      </c>
      <c r="F10" s="425" t="s">
        <v>67</v>
      </c>
      <c r="G10" s="428"/>
      <c r="H10" s="425" t="s">
        <v>1041</v>
      </c>
      <c r="I10" s="429"/>
    </row>
    <row r="11" spans="1:9" ht="13.5" thickBot="1">
      <c r="A11" s="430"/>
      <c r="B11" s="431"/>
      <c r="C11" s="432" t="s">
        <v>15</v>
      </c>
      <c r="D11" s="432" t="s">
        <v>1044</v>
      </c>
      <c r="E11" s="433"/>
      <c r="F11" s="431"/>
      <c r="G11" s="432" t="s">
        <v>1043</v>
      </c>
      <c r="H11" s="389" t="s">
        <v>97</v>
      </c>
      <c r="I11" s="434" t="s">
        <v>1042</v>
      </c>
    </row>
    <row r="12" spans="1:9" ht="12.75">
      <c r="A12" s="435" t="s">
        <v>1025</v>
      </c>
      <c r="B12" s="436" t="s">
        <v>1027</v>
      </c>
      <c r="C12" s="437">
        <v>0.55</v>
      </c>
      <c r="D12" s="437">
        <v>250</v>
      </c>
      <c r="E12" s="438" t="s">
        <v>1032</v>
      </c>
      <c r="F12" s="439" t="s">
        <v>1038</v>
      </c>
      <c r="G12" s="100">
        <v>1.03</v>
      </c>
      <c r="H12" s="436">
        <v>0</v>
      </c>
      <c r="I12" s="429">
        <v>1</v>
      </c>
    </row>
    <row r="13" spans="1:9" ht="12.75">
      <c r="A13" s="435" t="s">
        <v>1028</v>
      </c>
      <c r="B13" s="436" t="s">
        <v>305</v>
      </c>
      <c r="C13" s="437">
        <v>0.52</v>
      </c>
      <c r="D13" s="437">
        <v>300</v>
      </c>
      <c r="E13" s="438" t="s">
        <v>1033</v>
      </c>
      <c r="F13" s="439" t="s">
        <v>164</v>
      </c>
      <c r="G13" s="100">
        <v>1</v>
      </c>
      <c r="H13" s="436">
        <v>25</v>
      </c>
      <c r="I13" s="429">
        <v>0.85</v>
      </c>
    </row>
    <row r="14" spans="1:9" ht="12.75">
      <c r="A14" s="435" t="s">
        <v>1029</v>
      </c>
      <c r="B14" s="436" t="s">
        <v>314</v>
      </c>
      <c r="C14" s="437">
        <v>0.49</v>
      </c>
      <c r="D14" s="437">
        <v>350</v>
      </c>
      <c r="E14" s="438" t="s">
        <v>1034</v>
      </c>
      <c r="F14" s="439" t="s">
        <v>1039</v>
      </c>
      <c r="G14" s="100">
        <v>0.97</v>
      </c>
      <c r="H14" s="436">
        <v>50</v>
      </c>
      <c r="I14" s="429">
        <v>0.7</v>
      </c>
    </row>
    <row r="15" spans="1:9" ht="13.5" thickBot="1">
      <c r="A15" s="440" t="s">
        <v>1030</v>
      </c>
      <c r="B15" s="441" t="s">
        <v>301</v>
      </c>
      <c r="C15" s="442">
        <v>0.45</v>
      </c>
      <c r="D15" s="442">
        <v>400</v>
      </c>
      <c r="E15" s="443" t="s">
        <v>1035</v>
      </c>
      <c r="F15" s="444" t="s">
        <v>1040</v>
      </c>
      <c r="G15" s="445">
        <v>0.94</v>
      </c>
      <c r="H15" s="441">
        <v>75</v>
      </c>
      <c r="I15" s="446">
        <v>0.5</v>
      </c>
    </row>
    <row r="17" ht="13.5" thickBot="1"/>
    <row r="18" spans="1:10" ht="12.75">
      <c r="A18" s="447" t="s">
        <v>1024</v>
      </c>
      <c r="B18" s="447" t="s">
        <v>287</v>
      </c>
      <c r="C18" s="448"/>
      <c r="D18" s="448"/>
      <c r="E18" s="625" t="s">
        <v>1036</v>
      </c>
      <c r="F18" s="626"/>
      <c r="G18" s="448"/>
      <c r="H18" s="449" t="s">
        <v>1037</v>
      </c>
      <c r="I18" s="450"/>
      <c r="J18" s="449" t="s">
        <v>1045</v>
      </c>
    </row>
    <row r="19" spans="1:10" ht="12.75">
      <c r="A19" s="451"/>
      <c r="B19" s="451"/>
      <c r="C19" s="452"/>
      <c r="D19" s="452"/>
      <c r="E19" s="427"/>
      <c r="F19" s="453"/>
      <c r="G19" s="452"/>
      <c r="H19" s="425" t="s">
        <v>1041</v>
      </c>
      <c r="I19" s="454"/>
      <c r="J19" s="425" t="s">
        <v>1046</v>
      </c>
    </row>
    <row r="20" spans="1:10" ht="13.5" thickBot="1">
      <c r="A20" s="152" t="s">
        <v>861</v>
      </c>
      <c r="B20" s="455" t="s">
        <v>67</v>
      </c>
      <c r="C20" s="456"/>
      <c r="D20" s="456"/>
      <c r="E20" s="457" t="s">
        <v>1026</v>
      </c>
      <c r="F20" s="458" t="s">
        <v>67</v>
      </c>
      <c r="G20" s="432"/>
      <c r="H20" s="389" t="s">
        <v>97</v>
      </c>
      <c r="I20" s="459"/>
      <c r="J20" s="153" t="s">
        <v>861</v>
      </c>
    </row>
    <row r="21" spans="1:10" ht="16.5" thickBot="1">
      <c r="A21" s="241">
        <v>650</v>
      </c>
      <c r="B21" s="241" t="s">
        <v>1027</v>
      </c>
      <c r="C21" s="460">
        <f>IF(B21="S",0.55,IF(B21="Uls",0.52,IF(B21="Ts2",0.49,IF(B21="Lt3",0.45,"uW"))))</f>
        <v>0.55</v>
      </c>
      <c r="D21" s="460">
        <f>IF(B21="S",250,IF(B21="Uls",300,IF(B21="Ts2",350,IF(B21="Lt3",400,"uW"))))</f>
        <v>250</v>
      </c>
      <c r="E21" s="443" t="str">
        <f>IF(F21="Ö","Ödland",IF(F21="G","Gras",IF(F21="N","landw. Nutzfl.",IF(F21="W","Wald","uW"))))</f>
        <v>Ödland</v>
      </c>
      <c r="F21" s="387" t="s">
        <v>1038</v>
      </c>
      <c r="G21" s="388">
        <f>IF(F21="Ö",1.03,IF(F21="G",1,IF(F21="N",0.97,IF(F21="W",0.94,"uW"))))</f>
        <v>1.03</v>
      </c>
      <c r="H21" s="387">
        <v>0</v>
      </c>
      <c r="I21" s="461">
        <f>IF(H21=0,1,IF(H21=25,0.85,IF(H21=50,0.7,IF(H21=75,0.5,"uW"))))</f>
        <v>1</v>
      </c>
      <c r="J21" s="462">
        <f>IF(OR(C21="uW",D21="uW",E21="uW",G21="uW"),"unzulässiger Wert",C21*(A21-D21)^G21*I21)</f>
        <v>263.3203844911721</v>
      </c>
    </row>
    <row r="23" ht="12.75">
      <c r="B23" s="36" t="s">
        <v>1047</v>
      </c>
    </row>
    <row r="24" ht="12.75">
      <c r="B24" s="36" t="s">
        <v>1048</v>
      </c>
    </row>
  </sheetData>
  <sheetProtection password="9C67" sheet="1" objects="1" scenarios="1" selectLockedCells="1"/>
  <mergeCells count="3">
    <mergeCell ref="E9:F9"/>
    <mergeCell ref="A9:B9"/>
    <mergeCell ref="E18:F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I53"/>
  <sheetViews>
    <sheetView workbookViewId="0" topLeftCell="A1">
      <selection activeCell="B26" sqref="B26"/>
    </sheetView>
  </sheetViews>
  <sheetFormatPr defaultColWidth="11.421875" defaultRowHeight="12.75"/>
  <cols>
    <col min="1" max="1" width="17.7109375" style="36" customWidth="1"/>
    <col min="2" max="2" width="14.421875" style="36" customWidth="1"/>
    <col min="3" max="3" width="17.28125" style="36" customWidth="1"/>
    <col min="4" max="4" width="15.8515625" style="36" customWidth="1"/>
    <col min="5" max="6" width="15.8515625" style="36" hidden="1" customWidth="1"/>
    <col min="7" max="7" width="14.140625" style="36" customWidth="1"/>
    <col min="8" max="8" width="13.57421875" style="36" hidden="1" customWidth="1"/>
    <col min="9" max="9" width="13.28125" style="36" customWidth="1"/>
    <col min="10" max="16384" width="11.421875" style="36" customWidth="1"/>
  </cols>
  <sheetData>
    <row r="1" ht="20.25">
      <c r="A1" s="142" t="s">
        <v>1125</v>
      </c>
    </row>
    <row r="2" ht="12.75">
      <c r="A2" s="36" t="s">
        <v>286</v>
      </c>
    </row>
    <row r="3" ht="12.75">
      <c r="A3" s="36" t="s">
        <v>333</v>
      </c>
    </row>
    <row r="4" ht="12.75">
      <c r="A4" s="36" t="s">
        <v>332</v>
      </c>
    </row>
    <row r="5" ht="12.75">
      <c r="A5" s="36" t="s">
        <v>334</v>
      </c>
    </row>
    <row r="6" ht="12.75">
      <c r="A6" s="36" t="s">
        <v>1126</v>
      </c>
    </row>
    <row r="7" ht="12.75">
      <c r="A7" s="36" t="s">
        <v>1127</v>
      </c>
    </row>
    <row r="8" ht="12.75">
      <c r="A8" s="36" t="s">
        <v>327</v>
      </c>
    </row>
    <row r="9" ht="12.75">
      <c r="A9" s="36" t="s">
        <v>335</v>
      </c>
    </row>
    <row r="11" spans="1:6" ht="12.75">
      <c r="A11" s="96" t="s">
        <v>337</v>
      </c>
      <c r="B11" s="97"/>
      <c r="C11" s="97"/>
      <c r="D11" s="37"/>
      <c r="E11" s="37"/>
      <c r="F11" s="37"/>
    </row>
    <row r="12" spans="1:2" ht="12.75">
      <c r="A12" s="99" t="s">
        <v>336</v>
      </c>
      <c r="B12" s="143"/>
    </row>
    <row r="13" ht="12.75">
      <c r="A13" s="103" t="s">
        <v>179</v>
      </c>
    </row>
    <row r="14" ht="13.5" thickBot="1"/>
    <row r="15" spans="1:9" ht="12.75">
      <c r="A15" s="144" t="s">
        <v>287</v>
      </c>
      <c r="B15" s="145" t="s">
        <v>992</v>
      </c>
      <c r="C15" s="145" t="s">
        <v>994</v>
      </c>
      <c r="D15" s="145" t="s">
        <v>323</v>
      </c>
      <c r="E15" s="145" t="s">
        <v>994</v>
      </c>
      <c r="F15" s="145" t="s">
        <v>326</v>
      </c>
      <c r="G15" s="146" t="s">
        <v>6</v>
      </c>
      <c r="H15" s="145" t="s">
        <v>326</v>
      </c>
      <c r="I15" s="146" t="s">
        <v>836</v>
      </c>
    </row>
    <row r="16" spans="1:9" ht="12.75">
      <c r="A16" s="147"/>
      <c r="B16" s="149" t="s">
        <v>993</v>
      </c>
      <c r="C16" s="149" t="s">
        <v>995</v>
      </c>
      <c r="D16" s="149"/>
      <c r="E16" s="149" t="s">
        <v>1124</v>
      </c>
      <c r="F16" s="149" t="s">
        <v>6</v>
      </c>
      <c r="G16" s="150"/>
      <c r="H16" s="149" t="s">
        <v>836</v>
      </c>
      <c r="I16" s="150"/>
    </row>
    <row r="17" spans="1:9" ht="12.75">
      <c r="A17" s="147"/>
      <c r="B17" s="148" t="s">
        <v>328</v>
      </c>
      <c r="C17" s="149" t="s">
        <v>325</v>
      </c>
      <c r="D17" s="149"/>
      <c r="E17" s="149"/>
      <c r="F17" s="149" t="s">
        <v>331</v>
      </c>
      <c r="G17" s="150" t="s">
        <v>330</v>
      </c>
      <c r="H17" s="149" t="s">
        <v>331</v>
      </c>
      <c r="I17" s="150" t="s">
        <v>330</v>
      </c>
    </row>
    <row r="18" spans="1:9" ht="15" thickBot="1">
      <c r="A18" s="151"/>
      <c r="B18" s="152" t="s">
        <v>321</v>
      </c>
      <c r="C18" s="152" t="s">
        <v>322</v>
      </c>
      <c r="D18" s="152" t="s">
        <v>324</v>
      </c>
      <c r="E18" s="152"/>
      <c r="F18" s="152" t="s">
        <v>322</v>
      </c>
      <c r="G18" s="153" t="s">
        <v>322</v>
      </c>
      <c r="H18" s="152" t="s">
        <v>322</v>
      </c>
      <c r="I18" s="153" t="s">
        <v>322</v>
      </c>
    </row>
    <row r="19" spans="1:9" ht="12.75">
      <c r="A19" s="318" t="s">
        <v>288</v>
      </c>
      <c r="B19" s="310">
        <v>1.5</v>
      </c>
      <c r="C19" s="310">
        <v>0</v>
      </c>
      <c r="D19" s="310">
        <v>0</v>
      </c>
      <c r="E19" s="573">
        <f>(100-C19)/100</f>
        <v>1</v>
      </c>
      <c r="F19" s="314">
        <f>IF($D19&lt;1,0,IF($D19&lt;2,3,IF($D19&lt;4,6,IF($D19&lt;8,9,IF($D19&lt;15,12,12)))))</f>
        <v>0</v>
      </c>
      <c r="G19" s="315">
        <f>IF($B19&lt;1.4,14*$E19+$F19,IF($B19&lt;1.6,11*$E19+$F19,10*$E19+$F19))</f>
        <v>11</v>
      </c>
      <c r="H19" s="314">
        <f>IF($D19&lt;1,0,IF($D19&lt;2,0,IF($D19&lt;4,-1,IF($D19&lt;8,-2,IF($D19&lt;15,-3,-3)))))</f>
        <v>0</v>
      </c>
      <c r="I19" s="315">
        <f>IF($B19&lt;1.4,36+$F19,IF($B19&lt;1.6,32+$F19,27+$F19))</f>
        <v>32</v>
      </c>
    </row>
    <row r="20" spans="1:9" ht="12.75">
      <c r="A20" s="318" t="s">
        <v>289</v>
      </c>
      <c r="B20" s="310">
        <v>1.5</v>
      </c>
      <c r="C20" s="310">
        <v>0</v>
      </c>
      <c r="D20" s="310">
        <v>0</v>
      </c>
      <c r="E20" s="573">
        <f aca="true" t="shared" si="0" ref="E20:E53">(100-C20)/100</f>
        <v>1</v>
      </c>
      <c r="F20" s="314">
        <f>IF($D20&lt;1,0,IF($D20&lt;2,3,IF($D20&lt;4,6,IF($D20&lt;8,9,IF($D20&lt;15,13,12)))))</f>
        <v>0</v>
      </c>
      <c r="G20" s="315">
        <f>IF($B20&lt;1.4,28*$E20+$F20,IF($B20&lt;1.6,25*$E20+$F20,23*$E20+$F20))</f>
        <v>25</v>
      </c>
      <c r="H20" s="314">
        <f>IF($D20&lt;1,0,IF($D20&lt;2,0,IF($D20&lt;4,1,IF($D20&lt;8,2,IF($D20&lt;15,3,3)))))</f>
        <v>0</v>
      </c>
      <c r="I20" s="315">
        <f>IF($B20&lt;1.4,23+$F20,IF($B20&lt;1.6,18+$F20,13+$F20))</f>
        <v>18</v>
      </c>
    </row>
    <row r="21" spans="1:9" ht="12.75">
      <c r="A21" s="318" t="s">
        <v>290</v>
      </c>
      <c r="B21" s="310">
        <v>1.5</v>
      </c>
      <c r="C21" s="310">
        <v>0</v>
      </c>
      <c r="D21" s="310">
        <v>0</v>
      </c>
      <c r="E21" s="573">
        <f t="shared" si="0"/>
        <v>1</v>
      </c>
      <c r="F21" s="314">
        <f>IF($D21&lt;1,0,IF($D21&lt;2,3,IF($D21&lt;4,5,IF($D21&lt;8,9,IF($D21&lt;15,12,12)))))</f>
        <v>0</v>
      </c>
      <c r="G21" s="315">
        <f>IF($B21&lt;1.4,34*$E21+$F21,IF($B21&lt;1.6,27*$E21+$F21,25*$E21+$F21))</f>
        <v>27</v>
      </c>
      <c r="H21" s="314">
        <f>IF($D21&lt;1,0,IF($D21&lt;2,1,IF($D21&lt;4,2,IF($D21&lt;8,3,IF($D21&lt;15,4,4)))))</f>
        <v>0</v>
      </c>
      <c r="I21" s="315">
        <f>IF($B21&lt;1.4,18+$F21,IF($B21&lt;1.6,15+$F21,10+$F21))</f>
        <v>15</v>
      </c>
    </row>
    <row r="22" spans="1:9" ht="12.75">
      <c r="A22" s="318" t="s">
        <v>329</v>
      </c>
      <c r="B22" s="310">
        <v>1.5</v>
      </c>
      <c r="C22" s="310">
        <v>0</v>
      </c>
      <c r="D22" s="310">
        <v>0</v>
      </c>
      <c r="E22" s="573">
        <f t="shared" si="0"/>
        <v>1</v>
      </c>
      <c r="F22" s="314">
        <f>IF($D22&lt;1,0,IF($D22&lt;2,3,IF($D22&lt;4,7,IF($D22&lt;8,11,IF($D22&lt;15,14,12)))))</f>
        <v>0</v>
      </c>
      <c r="G22" s="315">
        <f>IF($B22&lt;1.4,36*$E22+$F22,IF($B22&lt;1.6,30*$E22+$F22,26*$E22+$F22))</f>
        <v>30</v>
      </c>
      <c r="H22" s="314">
        <f>IF($D22&lt;1,0,IF($D22&lt;2,2,IF($D22&lt;4,2,IF($D22&lt;8,3,IF($D22&lt;15,4,4)))))</f>
        <v>0</v>
      </c>
      <c r="I22" s="315">
        <f>IF($B22&lt;1.4,18+$F22,IF($B22&lt;1.6,12+$F22,8+$F22))</f>
        <v>12</v>
      </c>
    </row>
    <row r="23" spans="1:9" ht="12.75">
      <c r="A23" s="318" t="s">
        <v>291</v>
      </c>
      <c r="B23" s="310">
        <v>1.5</v>
      </c>
      <c r="C23" s="310">
        <v>0</v>
      </c>
      <c r="D23" s="310">
        <v>0</v>
      </c>
      <c r="E23" s="573">
        <f t="shared" si="0"/>
        <v>1</v>
      </c>
      <c r="F23" s="314">
        <f>IF($D23&lt;1,0,IF($D23&lt;2,2,IF($D23&lt;4,5,IF($D23&lt;8,8,IF($D23&lt;15,11,12)))))</f>
        <v>0</v>
      </c>
      <c r="G23" s="315">
        <f>IF($B23&lt;1.4,38*$E23+$F23,IF($B23&lt;1.6,33*$E23+$F23,30*$E23+$F23))</f>
        <v>33</v>
      </c>
      <c r="H23" s="314">
        <f>IF($D23&lt;1,0,IF($D23&lt;2,2,IF($D23&lt;4,3,IF($D23&lt;8,4,IF($D23&lt;15,6,6)))))</f>
        <v>0</v>
      </c>
      <c r="I23" s="315">
        <f>IF($B23&lt;1.4,14+$F23,IF($B23&lt;1.6,10+$F23,7+$F23))</f>
        <v>10</v>
      </c>
    </row>
    <row r="24" spans="1:9" ht="12.75">
      <c r="A24" s="318" t="s">
        <v>292</v>
      </c>
      <c r="B24" s="310">
        <v>1.5</v>
      </c>
      <c r="C24" s="310">
        <v>0</v>
      </c>
      <c r="D24" s="310">
        <v>0</v>
      </c>
      <c r="E24" s="573">
        <f t="shared" si="0"/>
        <v>1</v>
      </c>
      <c r="F24" s="314">
        <f>IF($D24&lt;1,0,IF($D24&lt;2,5,IF($D24&lt;4,7,IF($D24&lt;8,11,IF($D24&lt;15,15,12)))))</f>
        <v>0</v>
      </c>
      <c r="G24" s="315">
        <f>IF($B24&lt;1.4,26*$E24+$F24,IF($B24&lt;1.6,22*$E24+$F24,18*$E24+$F24))</f>
        <v>22</v>
      </c>
      <c r="H24" s="314">
        <f>IF($D24&lt;1,0,IF($D24&lt;2,0,IF($D24&lt;4,0,IF($D24&lt;8,1,IF($D24&lt;15,1,1)))))</f>
        <v>0</v>
      </c>
      <c r="I24" s="315">
        <f>IF($B24&lt;1.4,24+$F24,IF($B24&lt;1.6,20+$F24,15+$F24))</f>
        <v>20</v>
      </c>
    </row>
    <row r="25" spans="1:9" ht="12.75">
      <c r="A25" s="318" t="s">
        <v>293</v>
      </c>
      <c r="B25" s="310">
        <v>1.5</v>
      </c>
      <c r="C25" s="310">
        <v>0</v>
      </c>
      <c r="D25" s="310">
        <v>0</v>
      </c>
      <c r="E25" s="573">
        <f t="shared" si="0"/>
        <v>1</v>
      </c>
      <c r="F25" s="314">
        <f>IF($D25&lt;1,0,IF($D25&lt;2,2,IF($D25&lt;4,5,IF($D25&lt;8,10,IF($D25&lt;15,14,12)))))</f>
        <v>0</v>
      </c>
      <c r="G25" s="315">
        <f>IF($B25&lt;1.4,35*$E25+$F25,IF($B25&lt;1.6,30*$E25+$F25,26*$E25+$F25))</f>
        <v>30</v>
      </c>
      <c r="H25" s="314">
        <f>IF($D25&lt;1,0,IF($D25&lt;2,1,IF($D25&lt;4,2,IF($D25&lt;8,3,IF($D25&lt;15,4,4)))))</f>
        <v>0</v>
      </c>
      <c r="I25" s="315">
        <f>IF($B25&lt;1.4,18+$F25,IF($B25&lt;1.6,14+$F25,9+$F25))</f>
        <v>14</v>
      </c>
    </row>
    <row r="26" spans="1:9" ht="12.75">
      <c r="A26" s="318" t="s">
        <v>294</v>
      </c>
      <c r="B26" s="310">
        <v>1.5</v>
      </c>
      <c r="C26" s="310">
        <v>0</v>
      </c>
      <c r="D26" s="310">
        <v>0</v>
      </c>
      <c r="E26" s="573">
        <f t="shared" si="0"/>
        <v>1</v>
      </c>
      <c r="F26" s="314">
        <f>IF($D26&lt;1,0,IF($D26&lt;2,3,IF($D26&lt;4,6,IF($D26&lt;8,9,IF($D26&lt;15,13,12)))))</f>
        <v>0</v>
      </c>
      <c r="G26" s="315">
        <f>IF($B26&lt;1.4,26*$E26+$F26,IF($B26&lt;1.6,23*$E26+$F26,21*$E26+$F26))</f>
        <v>23</v>
      </c>
      <c r="H26" s="314">
        <f>IF($D26&lt;1,0,IF($D26&lt;2,0,IF($D26&lt;4,0,IF($D26&lt;8,-1,IF($D26&lt;15,-2,-2)))))</f>
        <v>0</v>
      </c>
      <c r="I26" s="315">
        <f>IF($B26&lt;1.4,24+$F26,IF($B26&lt;1.6,21+$F26,15+$F26))</f>
        <v>21</v>
      </c>
    </row>
    <row r="27" spans="1:9" ht="12.75">
      <c r="A27" s="318" t="s">
        <v>295</v>
      </c>
      <c r="B27" s="310">
        <v>1.5</v>
      </c>
      <c r="C27" s="310">
        <v>0</v>
      </c>
      <c r="D27" s="310">
        <v>0</v>
      </c>
      <c r="E27" s="573">
        <f t="shared" si="0"/>
        <v>1</v>
      </c>
      <c r="F27" s="314">
        <f>IF($D27&lt;1,0,IF($D27&lt;2,2,IF($D27&lt;4,6,IF($D27&lt;8,8,IF($D27&lt;15,11,12)))))</f>
        <v>0</v>
      </c>
      <c r="G27" s="315">
        <f>IF($B27&lt;1.4,35*$E27+$F27,IF($B27&lt;1.6,29*$E27+$F27,26*$E27+$F27))</f>
        <v>29</v>
      </c>
      <c r="H27" s="314">
        <f>IF($D27&lt;1,0,IF($D27&lt;2,1,IF($D27&lt;4,1,IF($D27&lt;8,2,IF($D27&lt;15,2,2)))))</f>
        <v>0</v>
      </c>
      <c r="I27" s="315">
        <f>IF($B27&lt;1.4,17+$F27,IF($B27&lt;1.6,14+$F27,10+$F27))</f>
        <v>14</v>
      </c>
    </row>
    <row r="28" spans="1:9" ht="12.75">
      <c r="A28" s="318" t="s">
        <v>296</v>
      </c>
      <c r="B28" s="310">
        <v>1.5</v>
      </c>
      <c r="C28" s="310">
        <v>0</v>
      </c>
      <c r="D28" s="310">
        <v>0</v>
      </c>
      <c r="E28" s="573">
        <f t="shared" si="0"/>
        <v>1</v>
      </c>
      <c r="F28" s="314">
        <f>IF($D28&lt;1,0,IF($D28&lt;2,2,IF($D28&lt;4,4,IF($D28&lt;8,8,IF($D28&lt;15,11,12)))))</f>
        <v>0</v>
      </c>
      <c r="G28" s="315">
        <f>IF($B28&lt;1.4,39*$E28+$F28,IF($B28&lt;1.6,32*$E28+$F28,28*$E28+$F28))</f>
        <v>32</v>
      </c>
      <c r="H28" s="314">
        <f>IF($D28&lt;1,0,IF($D28&lt;2,2,IF($D28&lt;4,3,IF($D28&lt;8,4,IF($D28&lt;15,6,6)))))</f>
        <v>0</v>
      </c>
      <c r="I28" s="315">
        <f>IF($B28&lt;1.4,14+$F28,IF($B28&lt;1.6,11+$F28,8+$F28))</f>
        <v>11</v>
      </c>
    </row>
    <row r="29" spans="1:9" ht="12.75">
      <c r="A29" s="318" t="s">
        <v>297</v>
      </c>
      <c r="B29" s="310">
        <v>1.5</v>
      </c>
      <c r="C29" s="310">
        <v>0</v>
      </c>
      <c r="D29" s="310">
        <v>0</v>
      </c>
      <c r="E29" s="573">
        <f t="shared" si="0"/>
        <v>1</v>
      </c>
      <c r="F29" s="314">
        <f>IF($D29&lt;1,0,IF($D29&lt;2,3,IF($D29&lt;4,6,IF($D29&lt;8,11,IF($D29&lt;15,14,12)))))</f>
        <v>0</v>
      </c>
      <c r="G29" s="315">
        <f>IF($B29&lt;1.4,40*$E29+$F29,IF($B29&lt;1.6,34*$E29+$F29,31*$E29+$F29))</f>
        <v>34</v>
      </c>
      <c r="H29" s="314">
        <f>IF($D29&lt;1,0,IF($D29&lt;2,2,IF($D29&lt;4,3,IF($D29&lt;8,4,IF($D29&lt;15,5,5)))))</f>
        <v>0</v>
      </c>
      <c r="I29" s="315">
        <f>IF($B29&lt;1.4,13+$F29,IF($B29&lt;1.6,9+$F29,6+$F29))</f>
        <v>9</v>
      </c>
    </row>
    <row r="30" spans="1:9" ht="12.75">
      <c r="A30" s="318" t="s">
        <v>298</v>
      </c>
      <c r="B30" s="310">
        <v>1.5</v>
      </c>
      <c r="C30" s="310">
        <v>0</v>
      </c>
      <c r="D30" s="310">
        <v>0</v>
      </c>
      <c r="E30" s="573">
        <f t="shared" si="0"/>
        <v>1</v>
      </c>
      <c r="F30" s="314">
        <f>IF($D30&lt;1,0,IF($D30&lt;2,3,IF($D30&lt;4,6,IF($D30&lt;8,11,IF($D30&lt;15,14,12)))))</f>
        <v>0</v>
      </c>
      <c r="G30" s="315">
        <f>IF($B30&lt;1.4,39*$E30+$F30,IF($B30&lt;1.6,33*$E30+$F30,30*$E30+$F30))</f>
        <v>33</v>
      </c>
      <c r="H30" s="314">
        <f>IF($D30&lt;1,0,IF($D30&lt;2,1,IF($D30&lt;4,2,IF($D30&lt;8,3,IF($D30&lt;15,4,4)))))</f>
        <v>0</v>
      </c>
      <c r="I30" s="315">
        <f>IF($B30&lt;1.4,15+$F30,IF($B30&lt;1.6,9+$F30,6+$F30))</f>
        <v>9</v>
      </c>
    </row>
    <row r="31" spans="1:9" ht="12.75">
      <c r="A31" s="318" t="s">
        <v>299</v>
      </c>
      <c r="B31" s="310">
        <v>1.5</v>
      </c>
      <c r="C31" s="310">
        <v>0</v>
      </c>
      <c r="D31" s="310">
        <v>0</v>
      </c>
      <c r="E31" s="573">
        <f t="shared" si="0"/>
        <v>1</v>
      </c>
      <c r="F31" s="314">
        <f>IF($D31&lt;1,0,IF($D31&lt;2,4,IF($D31&lt;4,6,IF($D31&lt;8,12,IF($D31&lt;15,15,12)))))</f>
        <v>0</v>
      </c>
      <c r="G31" s="315">
        <f>IF($B31&lt;1.4,39*$E31+$F31,IF($B31&lt;1.6,32*$E31+$F31,28*$E31+$F31))</f>
        <v>32</v>
      </c>
      <c r="H31" s="314">
        <f>IF($D31&lt;1,0,IF($D31&lt;2,1,IF($D31&lt;4,2,IF($D31&lt;8,3,IF($D31&lt;15,3,3)))))</f>
        <v>0</v>
      </c>
      <c r="I31" s="315">
        <f>IF($B31&lt;1.4,15+$F31,IF($B31&lt;1.6,11+$F31,7+$F31))</f>
        <v>11</v>
      </c>
    </row>
    <row r="32" spans="1:9" ht="12.75">
      <c r="A32" s="318" t="s">
        <v>300</v>
      </c>
      <c r="B32" s="310">
        <v>1.5</v>
      </c>
      <c r="C32" s="310">
        <v>0</v>
      </c>
      <c r="D32" s="310">
        <v>0</v>
      </c>
      <c r="E32" s="573">
        <f t="shared" si="0"/>
        <v>1</v>
      </c>
      <c r="F32" s="314">
        <f>IF($D32&lt;1,0,IF($D32&lt;2,5,IF($D32&lt;4,8,IF($D32&lt;8,13,IF($D32&lt;15,15,12)))))</f>
        <v>0</v>
      </c>
      <c r="G32" s="315">
        <f>IF($B32&lt;1.4,42*$E32+$F32,IF($B32&lt;1.6,36*$E32+$F32,32*$E32+$F32))</f>
        <v>36</v>
      </c>
      <c r="H32" s="314">
        <f>IF($D32&lt;1,0,IF($D32&lt;2,2,IF($D32&lt;4,3,IF($D32&lt;8,5,IF($D32&lt;15,6,6)))))</f>
        <v>0</v>
      </c>
      <c r="I32" s="315">
        <f>IF($B32&lt;1.4,11+$F32,IF($B32&lt;1.6,7+$F32,5+$F32))</f>
        <v>7</v>
      </c>
    </row>
    <row r="33" spans="1:9" ht="12.75">
      <c r="A33" s="318" t="s">
        <v>301</v>
      </c>
      <c r="B33" s="310">
        <v>1.5</v>
      </c>
      <c r="C33" s="310">
        <v>0</v>
      </c>
      <c r="D33" s="310">
        <v>0</v>
      </c>
      <c r="E33" s="573">
        <f t="shared" si="0"/>
        <v>1</v>
      </c>
      <c r="F33" s="314">
        <f>IF($D33&lt;1,0,IF($D33&lt;2,5,IF($D33&lt;4,6,IF($D33&lt;8,12,IF($D33&lt;15,15,12)))))</f>
        <v>0</v>
      </c>
      <c r="G33" s="315">
        <f>IF($B33&lt;1.4,45*$E33+$F33,IF($B33&lt;1.6,39*$E33+$F33,35*$E33+$F33))</f>
        <v>39</v>
      </c>
      <c r="H33" s="314">
        <f>IF($D33&lt;1,0,IF($D33&lt;2,1,IF($D33&lt;4,2,IF($D33&lt;8,4,IF($D33&lt;15,7,7)))))</f>
        <v>0</v>
      </c>
      <c r="I33" s="315">
        <f>IF($B33&lt;1.4,8+$F33,IF($B33&lt;1.6,5+$F33,3+$F33))</f>
        <v>5</v>
      </c>
    </row>
    <row r="34" spans="1:9" ht="12.75">
      <c r="A34" s="318" t="s">
        <v>302</v>
      </c>
      <c r="B34" s="310">
        <v>1.5</v>
      </c>
      <c r="C34" s="310">
        <v>0</v>
      </c>
      <c r="D34" s="310">
        <v>0</v>
      </c>
      <c r="E34" s="573">
        <f t="shared" si="0"/>
        <v>1</v>
      </c>
      <c r="F34" s="314">
        <f>IF($D34&lt;1,0,IF($D34&lt;2,3,IF($D34&lt;4,7,IF($D34&lt;8,13,IF($D34&lt;15,15,12)))))</f>
        <v>0</v>
      </c>
      <c r="G34" s="315">
        <f>IF($B34&lt;1.4,44*$E34+$F34,IF($B34&lt;1.6,37*$E34+$F34,31*$E34+$F34))</f>
        <v>37</v>
      </c>
      <c r="H34" s="314">
        <f>IF($D34&lt;1,0,IF($D34&lt;2,1,IF($D34&lt;4,2,IF($D34&lt;8,5,IF($D34&lt;15,6,6)))))</f>
        <v>0</v>
      </c>
      <c r="I34" s="315">
        <f>IF($B34&lt;1.4,10+$F34,IF($B34&lt;1.6,6+$F34,5+$F34))</f>
        <v>6</v>
      </c>
    </row>
    <row r="35" spans="1:9" ht="12.75">
      <c r="A35" s="318" t="s">
        <v>303</v>
      </c>
      <c r="B35" s="310">
        <v>1.5</v>
      </c>
      <c r="C35" s="310">
        <v>0</v>
      </c>
      <c r="D35" s="310">
        <v>0</v>
      </c>
      <c r="E35" s="573">
        <f t="shared" si="0"/>
        <v>1</v>
      </c>
      <c r="F35" s="314">
        <f>IF($D35&lt;1,0,IF($D35&lt;2,6,IF($D35&lt;4,7,IF($D35&lt;8,13,IF($D35&lt;15,14,12)))))</f>
        <v>0</v>
      </c>
      <c r="G35" s="315">
        <f>IF($B35&lt;1.4,41*$E35+$F35,IF($B35&lt;1.6,36*$E35+$F35,33*$E35+$F35))</f>
        <v>36</v>
      </c>
      <c r="H35" s="314">
        <f>IF($D35&lt;1,0,IF($D35&lt;2,2,IF($D35&lt;4,3,IF($D35&lt;8,6,IF($D35&lt;15,7,7)))))</f>
        <v>0</v>
      </c>
      <c r="I35" s="315">
        <f>IF($B35&lt;1.4,12+$F35,IF($B35&lt;1.6,7+$F35,4+$F35))</f>
        <v>7</v>
      </c>
    </row>
    <row r="36" spans="1:9" ht="12.75">
      <c r="A36" s="318" t="s">
        <v>304</v>
      </c>
      <c r="B36" s="310">
        <v>1.5</v>
      </c>
      <c r="C36" s="310">
        <v>0</v>
      </c>
      <c r="D36" s="310">
        <v>0</v>
      </c>
      <c r="E36" s="573">
        <f t="shared" si="0"/>
        <v>1</v>
      </c>
      <c r="F36" s="314">
        <f>IF($D36&lt;1,0,IF($D36&lt;2,2,IF($D36&lt;4,4,IF($D36&lt;8,8,IF($D36&lt;15,11,12)))))</f>
        <v>0</v>
      </c>
      <c r="G36" s="315">
        <f>IF($B36&lt;1.4,43*$E36+$F36,IF($B36&lt;1.6,38*$E36+$F36,35*$E36+$F36))</f>
        <v>38</v>
      </c>
      <c r="H36" s="314">
        <f>IF($D36&lt;1,0,IF($D36&lt;2,2,IF($D36&lt;4,3,IF($D36&lt;8,5,IF($D36&lt;15,9,9)))))</f>
        <v>0</v>
      </c>
      <c r="I36" s="315">
        <f>IF($B36&lt;1.4,10+$F36,IF($B36&lt;1.6,7+$F36,3+$F36))</f>
        <v>7</v>
      </c>
    </row>
    <row r="37" spans="1:9" ht="12.75">
      <c r="A37" s="318" t="s">
        <v>305</v>
      </c>
      <c r="B37" s="310">
        <v>1.5</v>
      </c>
      <c r="C37" s="310">
        <v>0</v>
      </c>
      <c r="D37" s="310">
        <v>0</v>
      </c>
      <c r="E37" s="573">
        <f t="shared" si="0"/>
        <v>1</v>
      </c>
      <c r="F37" s="314">
        <f>IF($D37&lt;1,0,IF($D37&lt;2,4,IF($D37&lt;4,7,IF($D37&lt;8,10,IF($D37&lt;15,15,12)))))</f>
        <v>0</v>
      </c>
      <c r="G37" s="315">
        <f>IF($B37&lt;1.4,39*$E37+$F37,IF($B37&lt;1.6,35*$E37+$F37,33*$E37+$F37))</f>
        <v>35</v>
      </c>
      <c r="H37" s="314">
        <f>IF($D37&lt;1,0,IF($D37&lt;2,2,IF($D37&lt;4,3,IF($D37&lt;8,4,IF($D37&lt;15,8,8)))))</f>
        <v>0</v>
      </c>
      <c r="I37" s="315">
        <f>IF($B37&lt;1.4,13+$F37,IF($B37&lt;1.6,8+$F37,5+$F37))</f>
        <v>8</v>
      </c>
    </row>
    <row r="38" spans="1:9" ht="12.75">
      <c r="A38" s="318" t="s">
        <v>306</v>
      </c>
      <c r="B38" s="310">
        <v>1.5</v>
      </c>
      <c r="C38" s="310">
        <v>0</v>
      </c>
      <c r="D38" s="310">
        <v>0</v>
      </c>
      <c r="E38" s="573">
        <f t="shared" si="0"/>
        <v>1</v>
      </c>
      <c r="F38" s="314">
        <f>IF($D38&lt;1,0,IF($D38&lt;2,2,IF($D38&lt;4,4,IF($D38&lt;8,7,IF($D38&lt;15,10,12)))))</f>
        <v>0</v>
      </c>
      <c r="G38" s="315">
        <f>IF($B38&lt;1.4,41*$E38+$F38,IF($B38&lt;1.6,35*$E38+$F38,32*$E38+$F38))</f>
        <v>35</v>
      </c>
      <c r="H38" s="314">
        <f>IF($D38&lt;1,0,IF($D38&lt;2,2,IF($D38&lt;4,3,IF($D38&lt;8,5,IF($D38&lt;15,8,8)))))</f>
        <v>0</v>
      </c>
      <c r="I38" s="315">
        <f>IF($B38&lt;1.4,11+$F38,IF($B38&lt;1.6,9+$F38,4+$F38))</f>
        <v>9</v>
      </c>
    </row>
    <row r="39" spans="1:9" ht="12.75">
      <c r="A39" s="318" t="s">
        <v>307</v>
      </c>
      <c r="B39" s="310">
        <v>1.5</v>
      </c>
      <c r="C39" s="310">
        <v>0</v>
      </c>
      <c r="D39" s="310">
        <v>0</v>
      </c>
      <c r="E39" s="573">
        <f t="shared" si="0"/>
        <v>1</v>
      </c>
      <c r="F39" s="314">
        <f>IF($D39&lt;1,0,IF($D39&lt;2,2,IF($D39&lt;4,4,IF($D39&lt;8,7,IF($D39&lt;15,12,12)))))</f>
        <v>0</v>
      </c>
      <c r="G39" s="315">
        <f>IF($B39&lt;1.4,40*$E39+$F39,IF($B39&lt;1.6,37*$E39+$F39,35*$E39+$F39))</f>
        <v>37</v>
      </c>
      <c r="H39" s="314">
        <f>IF($D39&lt;1,0,IF($D39&lt;2,2,IF($D39&lt;4,4,IF($D39&lt;8,6,IF($D39&lt;15,8,8)))))</f>
        <v>0</v>
      </c>
      <c r="I39" s="315">
        <f>IF($B39&lt;1.4,10+$F39,IF($B39&lt;1.6,6+$F39,3+$F39))</f>
        <v>6</v>
      </c>
    </row>
    <row r="40" spans="1:9" ht="12.75">
      <c r="A40" s="318" t="s">
        <v>308</v>
      </c>
      <c r="B40" s="310">
        <v>1.5</v>
      </c>
      <c r="C40" s="310">
        <v>0</v>
      </c>
      <c r="D40" s="310">
        <v>0</v>
      </c>
      <c r="E40" s="573">
        <f t="shared" si="0"/>
        <v>1</v>
      </c>
      <c r="F40" s="314">
        <f>IF($D40&lt;1,0,IF($D40&lt;2,2,IF($D40&lt;4,3,IF($D40&lt;8,8,IF($D40&lt;15,12,12)))))</f>
        <v>0</v>
      </c>
      <c r="G40" s="315">
        <f>IF($B40&lt;1.4,39*$E40+$F40,IF($B40&lt;1.6,37*$E40+$F40,35*$E40+$F40))</f>
        <v>37</v>
      </c>
      <c r="H40" s="314">
        <f>IF($D40&lt;1,0,IF($D40&lt;2,2,IF($D40&lt;4,4,IF($D40&lt;8,6,IF($D40&lt;15,8,8)))))</f>
        <v>0</v>
      </c>
      <c r="I40" s="315">
        <f>IF($B40&lt;1.4,11+$F40,IF($B40&lt;1.6,6+$F40,3+$F40))</f>
        <v>6</v>
      </c>
    </row>
    <row r="41" spans="1:9" ht="12.75">
      <c r="A41" s="318" t="s">
        <v>309</v>
      </c>
      <c r="B41" s="310">
        <v>1.5</v>
      </c>
      <c r="C41" s="310">
        <v>0</v>
      </c>
      <c r="D41" s="310">
        <v>0</v>
      </c>
      <c r="E41" s="573">
        <f t="shared" si="0"/>
        <v>1</v>
      </c>
      <c r="F41" s="314">
        <f>IF($D41&lt;1,0,IF($D41&lt;2,4,IF($D41&lt;4,6,IF($D41&lt;8,9,IF($D41&lt;15,13,12)))))</f>
        <v>0</v>
      </c>
      <c r="G41" s="315">
        <f>IF($B41&lt;1.4,39*$E41+$F41,IF($B41&lt;1.6,37*$E41+$F41,35*$E41+$F41))</f>
        <v>37</v>
      </c>
      <c r="H41" s="314">
        <f>IF($D41&lt;1,0,IF($D41&lt;2,2,IF($D41&lt;4,4,IF($D41&lt;8,6,IF($D41&lt;15,7,7)))))</f>
        <v>0</v>
      </c>
      <c r="I41" s="315">
        <f>IF($B41&lt;1.4,12+$F41,IF($B41&lt;1.6,7+$F41,3+$F41))</f>
        <v>7</v>
      </c>
    </row>
    <row r="42" spans="1:9" ht="12.75">
      <c r="A42" s="318" t="s">
        <v>310</v>
      </c>
      <c r="B42" s="310">
        <v>1.5</v>
      </c>
      <c r="C42" s="310">
        <v>0</v>
      </c>
      <c r="D42" s="310">
        <v>0</v>
      </c>
      <c r="E42" s="573">
        <f t="shared" si="0"/>
        <v>1</v>
      </c>
      <c r="F42" s="314">
        <f>IF($D42&lt;1,0,IF($D42&lt;2,5,IF($D42&lt;4,6,IF($D42&lt;8,9,IF($D42&lt;15,11,12)))))</f>
        <v>0</v>
      </c>
      <c r="G42" s="315">
        <f>IF($B42&lt;1.4,51*$E42+$F42,IF($B42&lt;1.6,43*$E42+$F42,35*$E42+$F42))</f>
        <v>43</v>
      </c>
      <c r="H42" s="314">
        <f>IF($D42&lt;1,0,IF($D42&lt;2,1,IF($D42&lt;4,2,IF($D42&lt;8,4,IF($D42&lt;15,8,8)))))</f>
        <v>0</v>
      </c>
      <c r="I42" s="315">
        <f>IF($B42&lt;1.4,4+$F42,IF($B42&lt;1.6,3+$F42,2+$F42))</f>
        <v>3</v>
      </c>
    </row>
    <row r="43" spans="1:9" ht="12.75">
      <c r="A43" s="318" t="s">
        <v>132</v>
      </c>
      <c r="B43" s="310">
        <v>1.5</v>
      </c>
      <c r="C43" s="310">
        <v>0</v>
      </c>
      <c r="D43" s="310">
        <v>0</v>
      </c>
      <c r="E43" s="573">
        <f t="shared" si="0"/>
        <v>1</v>
      </c>
      <c r="F43" s="314">
        <f>IF($D43&lt;1,0,IF($D43&lt;2,5,IF($D43&lt;4,6,IF($D43&lt;8,11,IF($D43&lt;15,13,12)))))</f>
        <v>0</v>
      </c>
      <c r="G43" s="315">
        <f>IF($B43&lt;1.4,48*$E43+$F43,IF($B43&lt;1.6,41*$E43+$F43,35*$E43+$F43))</f>
        <v>41</v>
      </c>
      <c r="H43" s="314">
        <f>IF($D43&lt;1,0,IF($D43&lt;2,1,IF($D43&lt;4,2,IF($D43&lt;8,3,IF($D43&lt;15,7,7)))))</f>
        <v>0</v>
      </c>
      <c r="I43" s="315">
        <f>IF($B43&lt;1.4,5+$F43,IF($B43&lt;1.6,4+$F43,3+$F43))</f>
        <v>4</v>
      </c>
    </row>
    <row r="44" spans="1:9" ht="12.75">
      <c r="A44" s="318" t="s">
        <v>311</v>
      </c>
      <c r="B44" s="310">
        <v>1.5</v>
      </c>
      <c r="C44" s="310">
        <v>0</v>
      </c>
      <c r="D44" s="310">
        <v>0</v>
      </c>
      <c r="E44" s="573">
        <f t="shared" si="0"/>
        <v>1</v>
      </c>
      <c r="F44" s="314">
        <f>IF($D44&lt;1,0,IF($D44&lt;2,5,IF($D44&lt;4,6,IF($D44&lt;8,10,IF($D44&lt;15,13,12)))))</f>
        <v>0</v>
      </c>
      <c r="G44" s="315">
        <f>IF($B44&lt;1.4,47*$E44+$F44,IF($B44&lt;1.6,42*$E44+$F44,36*$E44+$F44))</f>
        <v>42</v>
      </c>
      <c r="H44" s="314">
        <f>IF($D44&lt;1,0,IF($D44&lt;2,1,IF($D44&lt;4,2,IF($D44&lt;8,3,IF($D44&lt;15,7,7)))))</f>
        <v>0</v>
      </c>
      <c r="I44" s="315">
        <f>IF($B44&lt;1.4,5+$F44,IF($B44&lt;1.6,4+$F44,3+$F44))</f>
        <v>4</v>
      </c>
    </row>
    <row r="45" spans="1:9" ht="12.75">
      <c r="A45" s="318" t="s">
        <v>312</v>
      </c>
      <c r="B45" s="310">
        <v>1.5</v>
      </c>
      <c r="C45" s="310">
        <v>0</v>
      </c>
      <c r="D45" s="310">
        <v>0</v>
      </c>
      <c r="E45" s="573">
        <f t="shared" si="0"/>
        <v>1</v>
      </c>
      <c r="F45" s="314">
        <f>IF($D45&lt;1,0,IF($D45&lt;2,6,IF($D45&lt;4,8,IF($D45&lt;8,12,IF($D45&lt;15,14,12)))))</f>
        <v>0</v>
      </c>
      <c r="G45" s="315">
        <f>IF($B45&lt;1.4,45*$E45+$F45,IF($B45&lt;1.6,38*$E45+$F45,35*$E45+$F45))</f>
        <v>38</v>
      </c>
      <c r="H45" s="314">
        <f>IF($D45&lt;1,0,IF($D45&lt;2,2,IF($D45&lt;4,2,IF($D45&lt;8,3,IF($D45&lt;15,6,6)))))</f>
        <v>0</v>
      </c>
      <c r="I45" s="315">
        <f>IF($B45&lt;1.4,8+$F45,IF($B45&lt;1.6,6+$F45,3+$F45))</f>
        <v>6</v>
      </c>
    </row>
    <row r="46" spans="1:9" ht="12.75">
      <c r="A46" s="318" t="s">
        <v>313</v>
      </c>
      <c r="B46" s="310">
        <v>1.5</v>
      </c>
      <c r="C46" s="310">
        <v>0</v>
      </c>
      <c r="D46" s="310">
        <v>0</v>
      </c>
      <c r="E46" s="573">
        <f t="shared" si="0"/>
        <v>1</v>
      </c>
      <c r="F46" s="314">
        <f>IF($D46&lt;1,0,IF($D46&lt;2,5,IF($D46&lt;4,8,IF($D46&lt;8,11,IF($D46&lt;15,15,12)))))</f>
        <v>0</v>
      </c>
      <c r="G46" s="315">
        <f>IF($B46&lt;1.4,41*$E46+$F46,IF($B46&lt;1.6,37*$E46+$F46,35*$E46+$F46))</f>
        <v>37</v>
      </c>
      <c r="H46" s="314">
        <f>IF($D46&lt;1,0,IF($D46&lt;2,1,IF($D46&lt;4,3,IF($D46&lt;8,4,IF($D46&lt;15,6,6)))))</f>
        <v>0</v>
      </c>
      <c r="I46" s="315">
        <f>IF($B46&lt;1.4,10+$F46,IF($B46&lt;1.6,6+$F46,3+$F46))</f>
        <v>6</v>
      </c>
    </row>
    <row r="47" spans="1:9" ht="12.75">
      <c r="A47" s="318" t="s">
        <v>314</v>
      </c>
      <c r="B47" s="310">
        <v>1.5</v>
      </c>
      <c r="C47" s="310">
        <v>0</v>
      </c>
      <c r="D47" s="310">
        <v>0</v>
      </c>
      <c r="E47" s="573">
        <f t="shared" si="0"/>
        <v>1</v>
      </c>
      <c r="F47" s="314">
        <f>IF($D47&lt;1,0,IF($D47&lt;2,6,IF($D47&lt;4,7,IF($D47&lt;8,12,IF($D47&lt;15,14,12)))))</f>
        <v>0</v>
      </c>
      <c r="G47" s="315">
        <f>IF($B47&lt;1.4,47*$E47+$F47,IF($B47&lt;1.6,39*$E47+$F47,34*$E47+$F47))</f>
        <v>39</v>
      </c>
      <c r="H47" s="314">
        <f>IF($D47&lt;1,0,IF($D47&lt;2,1,IF($D47&lt;4,2,IF($D47&lt;8,3,IF($D47&lt;15,7,7)))))</f>
        <v>0</v>
      </c>
      <c r="I47" s="315">
        <f>IF($B47&lt;1.4,5+$F47,IF($B47&lt;1.6,4+$F47,3+$F47))</f>
        <v>4</v>
      </c>
    </row>
    <row r="48" spans="1:9" ht="12.75">
      <c r="A48" s="318" t="s">
        <v>315</v>
      </c>
      <c r="B48" s="310">
        <v>1.5</v>
      </c>
      <c r="C48" s="310">
        <v>0</v>
      </c>
      <c r="D48" s="310">
        <v>0</v>
      </c>
      <c r="E48" s="573">
        <f t="shared" si="0"/>
        <v>1</v>
      </c>
      <c r="F48" s="314">
        <f>IF($D48&lt;1,0,IF($D48&lt;2,5,IF($D48&lt;4,6,IF($D48&lt;8,12,IF($D48&lt;15,14,12)))))</f>
        <v>0</v>
      </c>
      <c r="G48" s="315">
        <f>IF($B48&lt;1.4,45*$E48+$F48,IF($B48&lt;1.6,37*$E48+$F48,32*$E48+$F48))</f>
        <v>37</v>
      </c>
      <c r="H48" s="314">
        <f>IF($D48&lt;1,0,IF($D48&lt;2,2,IF($D48&lt;4,3,IF($D48&lt;8,4,IF($D48&lt;15,5,5)))))</f>
        <v>0</v>
      </c>
      <c r="I48" s="315">
        <f>IF($B48&lt;1.4,7+$F48,IF($B48&lt;1.6,6+$F48,5+$F48))</f>
        <v>6</v>
      </c>
    </row>
    <row r="49" spans="1:9" ht="13.5" thickBot="1">
      <c r="A49" s="319" t="s">
        <v>316</v>
      </c>
      <c r="B49" s="311">
        <v>1.5</v>
      </c>
      <c r="C49" s="310">
        <v>0</v>
      </c>
      <c r="D49" s="310">
        <v>0</v>
      </c>
      <c r="E49" s="573">
        <f t="shared" si="0"/>
        <v>1</v>
      </c>
      <c r="F49" s="316">
        <f>IF($D49&lt;1,0,IF($D49&lt;2,4,IF($D49&lt;4,6,IF($D49&lt;8,11,IF($D49&lt;15,14,12)))))</f>
        <v>0</v>
      </c>
      <c r="G49" s="317">
        <f>IF($B49&lt;1.4,43*$E49+$F49,IF($B49&lt;1.6,32*$E49+$F49,30*$E49+$F49))</f>
        <v>32</v>
      </c>
      <c r="H49" s="316">
        <f>IF($D49&lt;1,0,IF($D49&lt;2,2,IF($D49&lt;4,3,IF($D49&lt;8,4,IF($D49&lt;15,5,5)))))</f>
        <v>0</v>
      </c>
      <c r="I49" s="317">
        <f>IF($B49&lt;1.4,13+$F49,IF($B49&lt;1.6,10+$F49,6+$F49))</f>
        <v>10</v>
      </c>
    </row>
    <row r="50" spans="1:9" ht="13.5" thickBot="1">
      <c r="A50" s="320" t="s">
        <v>317</v>
      </c>
      <c r="B50" s="312"/>
      <c r="C50" s="312"/>
      <c r="D50" s="312"/>
      <c r="E50" s="575"/>
      <c r="F50" s="312"/>
      <c r="G50" s="313"/>
      <c r="H50" s="312"/>
      <c r="I50" s="313"/>
    </row>
    <row r="51" spans="1:9" ht="12.75">
      <c r="A51" s="318" t="s">
        <v>318</v>
      </c>
      <c r="B51" s="310">
        <v>1.5</v>
      </c>
      <c r="C51" s="310">
        <v>0</v>
      </c>
      <c r="D51" s="310">
        <v>0</v>
      </c>
      <c r="E51" s="573">
        <f t="shared" si="0"/>
        <v>1</v>
      </c>
      <c r="F51" s="314">
        <f>IF($D51&lt;1,0,IF($D51&lt;2,3,IF($D51&lt;4,6,IF($D51&lt;8,9,IF($D51&lt;15,12,12)))))</f>
        <v>0</v>
      </c>
      <c r="G51" s="315">
        <f>IF($B51&lt;1.4,16*$E51+$F51,IF($B51&lt;1.6,14*$E51+$F51,12*$E51+$F51))</f>
        <v>14</v>
      </c>
      <c r="H51" s="314">
        <f>IF($D51&lt;1,0,IF($D51&lt;2,0,IF($D51&lt;4,-1,IF($D51&lt;8,-2,IF($D51&lt;15,-3,-3)))))</f>
        <v>0</v>
      </c>
      <c r="I51" s="315">
        <f>IF($B51&lt;1.4,34+$F51,IF($B51&lt;1.6,31+$F51,23+$F51))</f>
        <v>31</v>
      </c>
    </row>
    <row r="52" spans="1:9" ht="12.75">
      <c r="A52" s="318" t="s">
        <v>319</v>
      </c>
      <c r="B52" s="310">
        <v>1.5</v>
      </c>
      <c r="C52" s="310">
        <v>0</v>
      </c>
      <c r="D52" s="310">
        <v>0</v>
      </c>
      <c r="E52" s="573">
        <f t="shared" si="0"/>
        <v>1</v>
      </c>
      <c r="F52" s="314">
        <f>IF($D52&lt;1,0,IF($D52&lt;2,3,IF($D52&lt;4,6,IF($D52&lt;8,9,IF($D52&lt;15,12,12)))))</f>
        <v>0</v>
      </c>
      <c r="G52" s="315">
        <f>IF($B52&lt;1.4,14*$E52+$F52,IF($B52&lt;1.6,10*$E52+$F52,8*$E52+$F52))</f>
        <v>10</v>
      </c>
      <c r="H52" s="314">
        <f>IF($D52&lt;1,0,IF($D52&lt;2,0,IF($D52&lt;4,-1,IF($D52&lt;8,-2,IF($D52&lt;15,-3,-3)))))</f>
        <v>0</v>
      </c>
      <c r="I52" s="315">
        <f>IF($B52&lt;1.4,36+$F52,IF($B52&lt;1.6,32+$F52,26+$F52))</f>
        <v>32</v>
      </c>
    </row>
    <row r="53" spans="1:9" ht="13.5" thickBot="1">
      <c r="A53" s="319" t="s">
        <v>320</v>
      </c>
      <c r="B53" s="311">
        <v>1.5</v>
      </c>
      <c r="C53" s="311">
        <v>0</v>
      </c>
      <c r="D53" s="311">
        <v>0</v>
      </c>
      <c r="E53" s="574">
        <f t="shared" si="0"/>
        <v>1</v>
      </c>
      <c r="F53" s="316">
        <f>IF($D53&lt;1,0,IF($D53&lt;2,3,IF($D53&lt;4,6,IF($D53&lt;8,9,IF($D53&lt;15,12,12)))))</f>
        <v>0</v>
      </c>
      <c r="G53" s="317">
        <f>IF($B53&lt;1.4,12*$E53+$F53,IF($B53&lt;1.6,8*$E53+$F53,6*$E53+$F53))</f>
        <v>8</v>
      </c>
      <c r="H53" s="316">
        <f>IF($D53&lt;1,0,IF($D53&lt;2,0,IF($D53&lt;4,-1,IF($D53&lt;8,-2,IF($D53&lt;15,-3,-3)))))</f>
        <v>0</v>
      </c>
      <c r="I53" s="317">
        <f>IF($B53&lt;1.4,38+$F53,IF($B53&lt;1.6,33+$F53,29+$F53))</f>
        <v>33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W206"/>
  <sheetViews>
    <sheetView workbookViewId="0" topLeftCell="A1">
      <pane xSplit="1" ySplit="12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5" sqref="B15"/>
    </sheetView>
  </sheetViews>
  <sheetFormatPr defaultColWidth="11.421875" defaultRowHeight="12.75"/>
  <cols>
    <col min="1" max="1" width="29.140625" style="0" customWidth="1"/>
    <col min="2" max="2" width="12.00390625" style="175" customWidth="1"/>
    <col min="3" max="3" width="17.00390625" style="175" customWidth="1"/>
    <col min="4" max="4" width="10.421875" style="368" customWidth="1"/>
    <col min="5" max="5" width="12.7109375" style="369" customWidth="1"/>
    <col min="6" max="6" width="12.421875" style="369" customWidth="1"/>
    <col min="7" max="7" width="9.7109375" style="175" customWidth="1"/>
    <col min="8" max="8" width="12.421875" style="352" hidden="1" customWidth="1"/>
    <col min="9" max="9" width="14.57421875" style="352" hidden="1" customWidth="1"/>
    <col min="10" max="10" width="14.57421875" style="352" customWidth="1"/>
    <col min="11" max="11" width="12.00390625" style="352" customWidth="1"/>
    <col min="12" max="14" width="13.28125" style="352" hidden="1" customWidth="1"/>
    <col min="15" max="15" width="13.8515625" style="352" customWidth="1"/>
    <col min="16" max="16" width="15.140625" style="177" customWidth="1"/>
    <col min="17" max="17" width="13.140625" style="175" hidden="1" customWidth="1"/>
    <col min="18" max="18" width="14.57421875" style="175" hidden="1" customWidth="1"/>
    <col min="19" max="19" width="14.7109375" style="175" hidden="1" customWidth="1"/>
    <col min="20" max="20" width="17.57421875" style="175" customWidth="1"/>
  </cols>
  <sheetData>
    <row r="1" spans="1:2" ht="18">
      <c r="A1" s="40" t="s">
        <v>1116</v>
      </c>
      <c r="B1" s="357"/>
    </row>
    <row r="2" spans="3:4" ht="12.75">
      <c r="C2" s="564"/>
      <c r="D2" s="565" t="s">
        <v>1117</v>
      </c>
    </row>
    <row r="3" spans="1:4" ht="12.75">
      <c r="A3" s="99" t="s">
        <v>1101</v>
      </c>
      <c r="B3" s="358"/>
      <c r="C3" s="382"/>
      <c r="D3" s="565" t="s">
        <v>1118</v>
      </c>
    </row>
    <row r="4" spans="1:6" ht="12.75">
      <c r="A4" s="96" t="s">
        <v>178</v>
      </c>
      <c r="D4" s="565" t="s">
        <v>1121</v>
      </c>
      <c r="F4" s="381"/>
    </row>
    <row r="5" ht="12.75">
      <c r="D5" s="565" t="s">
        <v>1119</v>
      </c>
    </row>
    <row r="6" ht="12.75">
      <c r="D6" s="565" t="s">
        <v>1120</v>
      </c>
    </row>
    <row r="7" ht="13.5" thickBot="1"/>
    <row r="8" spans="1:20" ht="12.75">
      <c r="A8" s="321"/>
      <c r="B8" s="359"/>
      <c r="C8" s="359"/>
      <c r="D8" s="370"/>
      <c r="E8" s="371"/>
      <c r="F8" s="563" t="s">
        <v>1114</v>
      </c>
      <c r="G8" s="359"/>
      <c r="H8" s="385"/>
      <c r="I8" s="228" t="s">
        <v>1005</v>
      </c>
      <c r="J8" s="228" t="s">
        <v>521</v>
      </c>
      <c r="K8" s="228" t="s">
        <v>940</v>
      </c>
      <c r="L8" s="228" t="s">
        <v>998</v>
      </c>
      <c r="M8" s="228" t="s">
        <v>998</v>
      </c>
      <c r="N8" s="228" t="s">
        <v>871</v>
      </c>
      <c r="O8" s="228" t="s">
        <v>998</v>
      </c>
      <c r="P8" s="129" t="s">
        <v>1001</v>
      </c>
      <c r="Q8" s="129" t="s">
        <v>1102</v>
      </c>
      <c r="R8" s="129" t="s">
        <v>1102</v>
      </c>
      <c r="S8" s="129" t="s">
        <v>1001</v>
      </c>
      <c r="T8" s="129" t="s">
        <v>1001</v>
      </c>
    </row>
    <row r="9" spans="1:20" ht="12.75">
      <c r="A9" s="180" t="s">
        <v>110</v>
      </c>
      <c r="B9" s="180" t="s">
        <v>869</v>
      </c>
      <c r="C9" s="180" t="s">
        <v>537</v>
      </c>
      <c r="D9" s="182" t="s">
        <v>518</v>
      </c>
      <c r="E9" s="193" t="s">
        <v>520</v>
      </c>
      <c r="F9" s="193" t="s">
        <v>1115</v>
      </c>
      <c r="G9" s="181" t="s">
        <v>532</v>
      </c>
      <c r="H9" s="185" t="s">
        <v>521</v>
      </c>
      <c r="I9" s="185" t="s">
        <v>1006</v>
      </c>
      <c r="J9" s="185" t="s">
        <v>1000</v>
      </c>
      <c r="K9" s="185" t="s">
        <v>523</v>
      </c>
      <c r="L9" s="185" t="s">
        <v>999</v>
      </c>
      <c r="M9" s="185" t="s">
        <v>999</v>
      </c>
      <c r="N9" s="185" t="s">
        <v>872</v>
      </c>
      <c r="O9" s="185" t="s">
        <v>999</v>
      </c>
      <c r="P9" s="181" t="s">
        <v>846</v>
      </c>
      <c r="Q9" s="181" t="s">
        <v>1103</v>
      </c>
      <c r="R9" s="181" t="s">
        <v>1104</v>
      </c>
      <c r="S9" s="181" t="s">
        <v>846</v>
      </c>
      <c r="T9" s="181" t="s">
        <v>846</v>
      </c>
    </row>
    <row r="10" spans="1:20" ht="12.75">
      <c r="A10" s="180" t="s">
        <v>516</v>
      </c>
      <c r="B10" s="360"/>
      <c r="C10" s="180" t="s">
        <v>517</v>
      </c>
      <c r="D10" s="182"/>
      <c r="E10" s="193"/>
      <c r="F10" s="303"/>
      <c r="G10" s="181"/>
      <c r="H10" s="185" t="s">
        <v>527</v>
      </c>
      <c r="I10" s="185"/>
      <c r="J10" s="185"/>
      <c r="K10" s="185" t="s">
        <v>527</v>
      </c>
      <c r="L10" s="185" t="s">
        <v>527</v>
      </c>
      <c r="M10" s="185" t="s">
        <v>527</v>
      </c>
      <c r="N10" s="185"/>
      <c r="O10" s="185"/>
      <c r="P10" s="181" t="s">
        <v>1105</v>
      </c>
      <c r="Q10" s="181"/>
      <c r="R10" s="181"/>
      <c r="S10" s="181" t="s">
        <v>1106</v>
      </c>
      <c r="T10" s="181" t="s">
        <v>1107</v>
      </c>
    </row>
    <row r="11" spans="1:20" ht="12.75">
      <c r="A11" s="180"/>
      <c r="B11" s="360"/>
      <c r="C11" s="180"/>
      <c r="D11" s="182"/>
      <c r="E11" s="193"/>
      <c r="F11" s="303"/>
      <c r="G11" s="181"/>
      <c r="H11" s="185"/>
      <c r="I11" s="185"/>
      <c r="J11" s="185"/>
      <c r="K11" s="185"/>
      <c r="L11" s="185"/>
      <c r="M11" s="185"/>
      <c r="N11" s="185"/>
      <c r="O11" s="185" t="s">
        <v>1000</v>
      </c>
      <c r="P11" s="181" t="s">
        <v>1000</v>
      </c>
      <c r="Q11" s="181"/>
      <c r="R11" s="181"/>
      <c r="S11" s="181" t="s">
        <v>1108</v>
      </c>
      <c r="T11" s="181" t="s">
        <v>1000</v>
      </c>
    </row>
    <row r="12" spans="1:20" ht="15" thickBot="1">
      <c r="A12" s="117"/>
      <c r="B12" s="117" t="s">
        <v>870</v>
      </c>
      <c r="C12" s="117"/>
      <c r="D12" s="183" t="s">
        <v>519</v>
      </c>
      <c r="E12" s="194"/>
      <c r="F12" s="194"/>
      <c r="G12" s="130" t="s">
        <v>98</v>
      </c>
      <c r="H12" s="186" t="s">
        <v>522</v>
      </c>
      <c r="I12" s="186" t="s">
        <v>1111</v>
      </c>
      <c r="J12" s="186" t="s">
        <v>522</v>
      </c>
      <c r="K12" s="186" t="s">
        <v>524</v>
      </c>
      <c r="L12" s="186" t="s">
        <v>571</v>
      </c>
      <c r="M12" s="186" t="s">
        <v>570</v>
      </c>
      <c r="N12" s="186" t="s">
        <v>1002</v>
      </c>
      <c r="O12" s="186" t="s">
        <v>570</v>
      </c>
      <c r="P12" s="130" t="s">
        <v>896</v>
      </c>
      <c r="Q12" s="130" t="s">
        <v>1109</v>
      </c>
      <c r="R12" s="130" t="s">
        <v>1109</v>
      </c>
      <c r="S12" s="130" t="s">
        <v>896</v>
      </c>
      <c r="T12" s="130" t="s">
        <v>896</v>
      </c>
    </row>
    <row r="13" spans="1:20" ht="12.75">
      <c r="A13" s="131" t="s">
        <v>339</v>
      </c>
      <c r="B13" s="539"/>
      <c r="C13" s="361"/>
      <c r="D13" s="361"/>
      <c r="E13" s="372"/>
      <c r="F13" s="372"/>
      <c r="G13" s="304"/>
      <c r="H13" s="353"/>
      <c r="I13" s="353"/>
      <c r="J13" s="353"/>
      <c r="K13" s="353"/>
      <c r="L13" s="353"/>
      <c r="M13" s="353"/>
      <c r="N13" s="353"/>
      <c r="O13" s="353"/>
      <c r="P13" s="304"/>
      <c r="Q13" s="304"/>
      <c r="R13" s="304"/>
      <c r="S13" s="304"/>
      <c r="T13" s="304"/>
    </row>
    <row r="14" spans="1:22" ht="12.75">
      <c r="A14" s="156" t="s">
        <v>506</v>
      </c>
      <c r="B14" s="542">
        <v>25</v>
      </c>
      <c r="C14" s="362" t="s">
        <v>525</v>
      </c>
      <c r="D14" s="361">
        <v>58.12</v>
      </c>
      <c r="E14" s="372" t="s">
        <v>526</v>
      </c>
      <c r="F14" s="382" t="str">
        <f>IF($M14&lt;0.00001226,"gering",IF($M14&lt;0.04087,"mittel","hoch"))</f>
        <v>hoch</v>
      </c>
      <c r="G14" s="304">
        <v>1.641</v>
      </c>
      <c r="H14" s="353">
        <v>1820</v>
      </c>
      <c r="I14" s="353">
        <v>22440</v>
      </c>
      <c r="J14" s="353">
        <f aca="true" t="shared" si="0" ref="J14:J34">$H14/(EXP(-$I14/8.314*(1/298.15-1/(B14+273.15))))</f>
        <v>1820</v>
      </c>
      <c r="K14" s="353">
        <v>61.2</v>
      </c>
      <c r="L14" s="353">
        <v>0.95</v>
      </c>
      <c r="M14" s="353">
        <f>$L14/(0.000082057834*298.15)*($B14+273.15)/298.15</f>
        <v>38.83012087482718</v>
      </c>
      <c r="N14" s="353">
        <v>3100</v>
      </c>
      <c r="O14" s="353">
        <f aca="true" t="shared" si="1" ref="O14:O34">$M14*EXP($N14*(1/298.15-1/(273.15+$B14)))</f>
        <v>38.83012087482718</v>
      </c>
      <c r="P14" s="304">
        <f aca="true" t="shared" si="2" ref="P14:P34">0.001*($B14+273.15)^1.75*SQRT((28.97+$D14)/(28.97*$D14))/(1*(20.1^(1/3)+($Q14)^(1/3))^2)/10000*86400*365</f>
        <v>342.94680989056206</v>
      </c>
      <c r="Q14" s="304">
        <f aca="true" t="shared" si="3" ref="Q14:Q34">0.9*$R14</f>
        <v>62.56131390055456</v>
      </c>
      <c r="R14" s="304">
        <f aca="true" t="shared" si="4" ref="R14:R34">(13.26*0.00001/(0.8904^1.14*$S14/(0.0001*86400*365)))^(1/0.589)</f>
        <v>69.51257100061618</v>
      </c>
      <c r="S14" s="304">
        <f aca="true" t="shared" si="5" ref="S14:S34">0.00000000000003595*298.15/(0.001*$D14^0.53)*3600*24*365</f>
        <v>0.03925073054443575</v>
      </c>
      <c r="T14" s="304">
        <f aca="true" t="shared" si="6" ref="T14:T34">0.00000000000003595*($B14+273.15)/(0.001*$D14^0.53)*3600*24*365</f>
        <v>0.03925073054443575</v>
      </c>
      <c r="V14" s="202"/>
    </row>
    <row r="15" spans="1:20" ht="12.75">
      <c r="A15" s="156" t="s">
        <v>505</v>
      </c>
      <c r="B15" s="542">
        <v>25</v>
      </c>
      <c r="C15" s="362" t="s">
        <v>525</v>
      </c>
      <c r="D15" s="361">
        <v>58.12</v>
      </c>
      <c r="E15" s="372" t="s">
        <v>528</v>
      </c>
      <c r="F15" s="382" t="str">
        <f aca="true" t="shared" si="7" ref="F15:F34">IF($M15&lt;0.00001226,"gering",IF($M15&lt;0.04087,"mittel","hoch"))</f>
        <v>hoch</v>
      </c>
      <c r="G15" s="304">
        <v>1.545</v>
      </c>
      <c r="H15" s="353">
        <v>2610</v>
      </c>
      <c r="I15" s="353">
        <v>21300</v>
      </c>
      <c r="J15" s="353">
        <f t="shared" si="0"/>
        <v>2610</v>
      </c>
      <c r="K15" s="353">
        <v>48.8</v>
      </c>
      <c r="L15" s="353">
        <v>1.19</v>
      </c>
      <c r="M15" s="353">
        <f>$L15/(0.000082057834*298.15)*($B15+273.15)/298.15</f>
        <v>48.63983562215194</v>
      </c>
      <c r="N15" s="353">
        <v>2700</v>
      </c>
      <c r="O15" s="353">
        <f t="shared" si="1"/>
        <v>48.63983562215194</v>
      </c>
      <c r="P15" s="304">
        <f t="shared" si="2"/>
        <v>342.94680989056206</v>
      </c>
      <c r="Q15" s="304">
        <f t="shared" si="3"/>
        <v>62.56131390055456</v>
      </c>
      <c r="R15" s="304">
        <f t="shared" si="4"/>
        <v>69.51257100061618</v>
      </c>
      <c r="S15" s="304">
        <f t="shared" si="5"/>
        <v>0.03925073054443575</v>
      </c>
      <c r="T15" s="304">
        <f t="shared" si="6"/>
        <v>0.03925073054443575</v>
      </c>
    </row>
    <row r="16" spans="1:20" ht="12.75">
      <c r="A16" s="156" t="s">
        <v>346</v>
      </c>
      <c r="B16" s="542">
        <v>25</v>
      </c>
      <c r="C16" s="362" t="s">
        <v>529</v>
      </c>
      <c r="D16" s="361">
        <v>72.15</v>
      </c>
      <c r="E16" s="372" t="s">
        <v>530</v>
      </c>
      <c r="F16" s="382" t="str">
        <f t="shared" si="7"/>
        <v>hoch</v>
      </c>
      <c r="G16" s="304">
        <v>1.907</v>
      </c>
      <c r="H16" s="353">
        <v>514</v>
      </c>
      <c r="I16" s="353">
        <v>26200</v>
      </c>
      <c r="J16" s="353">
        <f t="shared" si="0"/>
        <v>514</v>
      </c>
      <c r="K16" s="353">
        <v>38</v>
      </c>
      <c r="L16" s="353">
        <v>1.25</v>
      </c>
      <c r="M16" s="353">
        <f aca="true" t="shared" si="8" ref="M16:M34">$L16/(0.000082057834*298.15)</f>
        <v>51.09226430898313</v>
      </c>
      <c r="N16" s="353">
        <v>3200</v>
      </c>
      <c r="O16" s="353">
        <f t="shared" si="1"/>
        <v>51.09226430898313</v>
      </c>
      <c r="P16" s="304">
        <f t="shared" si="2"/>
        <v>306.782984612258</v>
      </c>
      <c r="Q16" s="304">
        <f t="shared" si="3"/>
        <v>75.99929679071467</v>
      </c>
      <c r="R16" s="304">
        <f t="shared" si="4"/>
        <v>84.44366310079407</v>
      </c>
      <c r="S16" s="304">
        <f t="shared" si="5"/>
        <v>0.035000565202359245</v>
      </c>
      <c r="T16" s="304">
        <f t="shared" si="6"/>
        <v>0.035000565202359245</v>
      </c>
    </row>
    <row r="17" spans="1:20" ht="12.75">
      <c r="A17" s="156" t="s">
        <v>342</v>
      </c>
      <c r="B17" s="542">
        <v>25</v>
      </c>
      <c r="C17" s="362" t="s">
        <v>529</v>
      </c>
      <c r="D17" s="361">
        <v>72.15</v>
      </c>
      <c r="E17" s="372" t="s">
        <v>531</v>
      </c>
      <c r="F17" s="382" t="str">
        <f t="shared" si="7"/>
        <v>hoch</v>
      </c>
      <c r="G17" s="304">
        <v>1.831</v>
      </c>
      <c r="H17" s="353">
        <v>689</v>
      </c>
      <c r="I17" s="353">
        <v>24832</v>
      </c>
      <c r="J17" s="353">
        <f t="shared" si="0"/>
        <v>689</v>
      </c>
      <c r="K17" s="353">
        <v>48</v>
      </c>
      <c r="L17" s="353">
        <v>1.4</v>
      </c>
      <c r="M17" s="353">
        <f t="shared" si="8"/>
        <v>57.223336026061105</v>
      </c>
      <c r="N17" s="353">
        <v>3200</v>
      </c>
      <c r="O17" s="353">
        <f t="shared" si="1"/>
        <v>57.223336026061105</v>
      </c>
      <c r="P17" s="304">
        <f t="shared" si="2"/>
        <v>306.782984612258</v>
      </c>
      <c r="Q17" s="304">
        <f t="shared" si="3"/>
        <v>75.99929679071467</v>
      </c>
      <c r="R17" s="304">
        <f t="shared" si="4"/>
        <v>84.44366310079407</v>
      </c>
      <c r="S17" s="304">
        <f t="shared" si="5"/>
        <v>0.035000565202359245</v>
      </c>
      <c r="T17" s="304">
        <f t="shared" si="6"/>
        <v>0.035000565202359245</v>
      </c>
    </row>
    <row r="18" spans="1:20" ht="12.75">
      <c r="A18" s="156" t="s">
        <v>347</v>
      </c>
      <c r="B18" s="542">
        <v>25</v>
      </c>
      <c r="C18" s="362" t="s">
        <v>533</v>
      </c>
      <c r="D18" s="361">
        <v>70.14</v>
      </c>
      <c r="E18" s="372" t="s">
        <v>534</v>
      </c>
      <c r="F18" s="382" t="str">
        <f t="shared" si="7"/>
        <v>hoch</v>
      </c>
      <c r="G18" s="304">
        <v>1.953</v>
      </c>
      <c r="H18" s="353">
        <v>318</v>
      </c>
      <c r="I18" s="353">
        <v>29213</v>
      </c>
      <c r="J18" s="353">
        <f t="shared" si="0"/>
        <v>318</v>
      </c>
      <c r="K18" s="353">
        <v>156</v>
      </c>
      <c r="L18" s="353">
        <v>0.188</v>
      </c>
      <c r="M18" s="353">
        <f t="shared" si="8"/>
        <v>7.684276552071063</v>
      </c>
      <c r="N18" s="353">
        <v>3400</v>
      </c>
      <c r="O18" s="353">
        <f t="shared" si="1"/>
        <v>7.684276552071063</v>
      </c>
      <c r="P18" s="304">
        <f t="shared" si="2"/>
        <v>311.23078355735043</v>
      </c>
      <c r="Q18" s="304">
        <f t="shared" si="3"/>
        <v>74.09145792439351</v>
      </c>
      <c r="R18" s="304">
        <f t="shared" si="4"/>
        <v>82.32384213821501</v>
      </c>
      <c r="S18" s="304">
        <f t="shared" si="5"/>
        <v>0.035528630040565036</v>
      </c>
      <c r="T18" s="304">
        <f t="shared" si="6"/>
        <v>0.035528630040565036</v>
      </c>
    </row>
    <row r="19" spans="1:20" ht="12.75">
      <c r="A19" s="156" t="s">
        <v>350</v>
      </c>
      <c r="B19" s="542">
        <v>25</v>
      </c>
      <c r="C19" s="362" t="s">
        <v>535</v>
      </c>
      <c r="D19" s="361">
        <v>86.18</v>
      </c>
      <c r="E19" s="372" t="s">
        <v>536</v>
      </c>
      <c r="F19" s="382" t="str">
        <f t="shared" si="7"/>
        <v>hoch</v>
      </c>
      <c r="G19" s="304">
        <v>2.173</v>
      </c>
      <c r="H19" s="353">
        <v>151</v>
      </c>
      <c r="I19" s="353">
        <v>28850</v>
      </c>
      <c r="J19" s="353">
        <f t="shared" si="0"/>
        <v>151</v>
      </c>
      <c r="K19" s="353">
        <v>9.5</v>
      </c>
      <c r="L19" s="353">
        <v>1.8</v>
      </c>
      <c r="M19" s="353">
        <f t="shared" si="8"/>
        <v>73.57286060493571</v>
      </c>
      <c r="N19" s="353">
        <v>7500</v>
      </c>
      <c r="O19" s="353">
        <f t="shared" si="1"/>
        <v>73.57286060493571</v>
      </c>
      <c r="P19" s="304">
        <f t="shared" si="2"/>
        <v>280.5252337074114</v>
      </c>
      <c r="Q19" s="304">
        <f t="shared" si="3"/>
        <v>89.17633320212603</v>
      </c>
      <c r="R19" s="304">
        <f t="shared" si="4"/>
        <v>99.08481466902892</v>
      </c>
      <c r="S19" s="304">
        <f t="shared" si="5"/>
        <v>0.03185479949049528</v>
      </c>
      <c r="T19" s="304">
        <f t="shared" si="6"/>
        <v>0.03185479949049528</v>
      </c>
    </row>
    <row r="20" spans="1:20" ht="12.75">
      <c r="A20" s="156" t="s">
        <v>507</v>
      </c>
      <c r="B20" s="542">
        <v>25</v>
      </c>
      <c r="C20" s="362" t="s">
        <v>535</v>
      </c>
      <c r="D20" s="361">
        <v>86.18</v>
      </c>
      <c r="E20" s="372" t="s">
        <v>538</v>
      </c>
      <c r="F20" s="382" t="str">
        <f t="shared" si="7"/>
        <v>hoch</v>
      </c>
      <c r="G20" s="304">
        <v>2.096</v>
      </c>
      <c r="H20" s="353">
        <v>211</v>
      </c>
      <c r="I20" s="353">
        <v>27790</v>
      </c>
      <c r="J20" s="353">
        <f t="shared" si="0"/>
        <v>211</v>
      </c>
      <c r="K20" s="353">
        <v>14</v>
      </c>
      <c r="L20" s="353">
        <v>1.71</v>
      </c>
      <c r="M20" s="353">
        <f t="shared" si="8"/>
        <v>69.89421757468892</v>
      </c>
      <c r="N20" s="353">
        <v>3000</v>
      </c>
      <c r="O20" s="353">
        <f t="shared" si="1"/>
        <v>69.89421757468892</v>
      </c>
      <c r="P20" s="304">
        <f t="shared" si="2"/>
        <v>280.5252337074114</v>
      </c>
      <c r="Q20" s="304">
        <f t="shared" si="3"/>
        <v>89.17633320212603</v>
      </c>
      <c r="R20" s="304">
        <f t="shared" si="4"/>
        <v>99.08481466902892</v>
      </c>
      <c r="S20" s="304">
        <f t="shared" si="5"/>
        <v>0.03185479949049528</v>
      </c>
      <c r="T20" s="304">
        <f t="shared" si="6"/>
        <v>0.03185479949049528</v>
      </c>
    </row>
    <row r="21" spans="1:20" ht="12.75">
      <c r="A21" s="156" t="s">
        <v>348</v>
      </c>
      <c r="B21" s="542">
        <v>25</v>
      </c>
      <c r="C21" s="362" t="s">
        <v>540</v>
      </c>
      <c r="D21" s="361">
        <v>84.16</v>
      </c>
      <c r="E21" s="372" t="s">
        <v>539</v>
      </c>
      <c r="F21" s="382" t="str">
        <f t="shared" si="7"/>
        <v>hoch</v>
      </c>
      <c r="G21" s="304">
        <v>2.219</v>
      </c>
      <c r="H21" s="353">
        <v>96.9</v>
      </c>
      <c r="I21" s="353">
        <v>29970</v>
      </c>
      <c r="J21" s="353">
        <f t="shared" si="0"/>
        <v>96.9</v>
      </c>
      <c r="K21" s="353">
        <v>55</v>
      </c>
      <c r="L21" s="353">
        <v>0.15</v>
      </c>
      <c r="M21" s="353">
        <f t="shared" si="8"/>
        <v>6.131071717077975</v>
      </c>
      <c r="N21" s="353">
        <v>3200</v>
      </c>
      <c r="O21" s="353">
        <f t="shared" si="1"/>
        <v>6.131071717077975</v>
      </c>
      <c r="P21" s="304">
        <f t="shared" si="2"/>
        <v>283.8674058940016</v>
      </c>
      <c r="Q21" s="304">
        <f t="shared" si="3"/>
        <v>87.29325203206628</v>
      </c>
      <c r="R21" s="304">
        <f t="shared" si="4"/>
        <v>96.99250225785141</v>
      </c>
      <c r="S21" s="304">
        <f t="shared" si="5"/>
        <v>0.03225776547567722</v>
      </c>
      <c r="T21" s="304">
        <f t="shared" si="6"/>
        <v>0.03225776547567722</v>
      </c>
    </row>
    <row r="22" spans="1:20" ht="12.75">
      <c r="A22" s="156" t="s">
        <v>370</v>
      </c>
      <c r="B22" s="542">
        <v>25</v>
      </c>
      <c r="C22" s="362" t="s">
        <v>541</v>
      </c>
      <c r="D22" s="361">
        <v>100.21</v>
      </c>
      <c r="E22" s="372" t="s">
        <v>542</v>
      </c>
      <c r="F22" s="382" t="str">
        <f t="shared" si="7"/>
        <v>hoch</v>
      </c>
      <c r="G22" s="304">
        <v>2.439</v>
      </c>
      <c r="H22" s="353">
        <v>46</v>
      </c>
      <c r="I22" s="353">
        <v>31770</v>
      </c>
      <c r="J22" s="353">
        <f t="shared" si="0"/>
        <v>46</v>
      </c>
      <c r="K22" s="353">
        <v>3.4</v>
      </c>
      <c r="L22" s="353">
        <v>2</v>
      </c>
      <c r="M22" s="353">
        <f t="shared" si="8"/>
        <v>81.74762289437301</v>
      </c>
      <c r="N22" s="353">
        <v>3700</v>
      </c>
      <c r="O22" s="353">
        <f t="shared" si="1"/>
        <v>81.74762289437301</v>
      </c>
      <c r="P22" s="304">
        <f t="shared" si="2"/>
        <v>260.344500962314</v>
      </c>
      <c r="Q22" s="304">
        <f t="shared" si="3"/>
        <v>102.13923591656092</v>
      </c>
      <c r="R22" s="304">
        <f t="shared" si="4"/>
        <v>113.4880399072899</v>
      </c>
      <c r="S22" s="304">
        <f t="shared" si="5"/>
        <v>0.02940745576393999</v>
      </c>
      <c r="T22" s="304">
        <f t="shared" si="6"/>
        <v>0.02940745576393999</v>
      </c>
    </row>
    <row r="23" spans="1:20" ht="12.75">
      <c r="A23" s="156" t="s">
        <v>369</v>
      </c>
      <c r="B23" s="542">
        <v>25</v>
      </c>
      <c r="C23" s="362" t="s">
        <v>541</v>
      </c>
      <c r="D23" s="361">
        <v>100.21</v>
      </c>
      <c r="E23" s="372" t="s">
        <v>1021</v>
      </c>
      <c r="F23" s="382" t="str">
        <f t="shared" si="7"/>
        <v>hoch</v>
      </c>
      <c r="G23" s="304">
        <v>2.362</v>
      </c>
      <c r="H23" s="353">
        <v>66</v>
      </c>
      <c r="I23" s="353">
        <v>30620</v>
      </c>
      <c r="J23" s="353">
        <f t="shared" si="0"/>
        <v>66</v>
      </c>
      <c r="K23" s="353">
        <v>2.54</v>
      </c>
      <c r="L23" s="353">
        <v>3.43</v>
      </c>
      <c r="M23" s="353">
        <f t="shared" si="8"/>
        <v>140.19717326384972</v>
      </c>
      <c r="N23" s="353">
        <v>3600</v>
      </c>
      <c r="O23" s="353">
        <f t="shared" si="1"/>
        <v>140.19717326384972</v>
      </c>
      <c r="P23" s="304">
        <f t="shared" si="2"/>
        <v>260.344500962314</v>
      </c>
      <c r="Q23" s="304">
        <f t="shared" si="3"/>
        <v>102.13923591656092</v>
      </c>
      <c r="R23" s="304">
        <f t="shared" si="4"/>
        <v>113.4880399072899</v>
      </c>
      <c r="S23" s="304">
        <f t="shared" si="5"/>
        <v>0.02940745576393999</v>
      </c>
      <c r="T23" s="304">
        <f t="shared" si="6"/>
        <v>0.02940745576393999</v>
      </c>
    </row>
    <row r="24" spans="1:20" ht="12.75">
      <c r="A24" s="156" t="s">
        <v>349</v>
      </c>
      <c r="B24" s="542">
        <v>25</v>
      </c>
      <c r="C24" s="362" t="s">
        <v>543</v>
      </c>
      <c r="D24" s="361">
        <v>98.19</v>
      </c>
      <c r="E24" s="372" t="s">
        <v>544</v>
      </c>
      <c r="F24" s="382" t="str">
        <f t="shared" si="7"/>
        <v>hoch</v>
      </c>
      <c r="G24" s="304">
        <v>2.485</v>
      </c>
      <c r="H24" s="353">
        <v>21.6</v>
      </c>
      <c r="I24" s="353">
        <v>39400</v>
      </c>
      <c r="J24" s="353">
        <f t="shared" si="0"/>
        <v>21.6</v>
      </c>
      <c r="K24" s="353">
        <v>30</v>
      </c>
      <c r="L24" s="353">
        <v>0.093</v>
      </c>
      <c r="M24" s="353">
        <f t="shared" si="8"/>
        <v>3.801264464588345</v>
      </c>
      <c r="N24" s="353">
        <v>3500</v>
      </c>
      <c r="O24" s="353">
        <f t="shared" si="1"/>
        <v>3.801264464588345</v>
      </c>
      <c r="P24" s="304">
        <f t="shared" si="2"/>
        <v>262.9652807156793</v>
      </c>
      <c r="Q24" s="304">
        <f t="shared" si="3"/>
        <v>100.28470106345748</v>
      </c>
      <c r="R24" s="304">
        <f t="shared" si="4"/>
        <v>111.42744562606386</v>
      </c>
      <c r="S24" s="304">
        <f t="shared" si="5"/>
        <v>0.029726560861537122</v>
      </c>
      <c r="T24" s="304">
        <f t="shared" si="6"/>
        <v>0.029726560861537122</v>
      </c>
    </row>
    <row r="25" spans="1:20" ht="12.75">
      <c r="A25" s="156" t="s">
        <v>508</v>
      </c>
      <c r="B25" s="542">
        <v>25</v>
      </c>
      <c r="C25" s="362" t="s">
        <v>545</v>
      </c>
      <c r="D25" s="361">
        <v>114.23</v>
      </c>
      <c r="E25" s="372" t="s">
        <v>546</v>
      </c>
      <c r="F25" s="382" t="str">
        <f t="shared" si="7"/>
        <v>hoch</v>
      </c>
      <c r="G25" s="304">
        <v>2.705</v>
      </c>
      <c r="H25" s="353">
        <v>14.1</v>
      </c>
      <c r="I25" s="353">
        <v>34410</v>
      </c>
      <c r="J25" s="353">
        <f t="shared" si="0"/>
        <v>14.1</v>
      </c>
      <c r="K25" s="353">
        <v>0.66</v>
      </c>
      <c r="L25" s="353">
        <v>3.21</v>
      </c>
      <c r="M25" s="353">
        <f t="shared" si="8"/>
        <v>131.20493474546868</v>
      </c>
      <c r="N25" s="353">
        <v>7800</v>
      </c>
      <c r="O25" s="353">
        <f t="shared" si="1"/>
        <v>131.20493474546868</v>
      </c>
      <c r="P25" s="304">
        <f t="shared" si="2"/>
        <v>244.20994123489757</v>
      </c>
      <c r="Q25" s="304">
        <f t="shared" si="3"/>
        <v>114.91193893521725</v>
      </c>
      <c r="R25" s="304">
        <f t="shared" si="4"/>
        <v>127.67993215024138</v>
      </c>
      <c r="S25" s="304">
        <f t="shared" si="5"/>
        <v>0.02743574904027014</v>
      </c>
      <c r="T25" s="304">
        <f t="shared" si="6"/>
        <v>0.02743574904027014</v>
      </c>
    </row>
    <row r="26" spans="1:20" ht="12.75">
      <c r="A26" s="156" t="s">
        <v>509</v>
      </c>
      <c r="B26" s="542">
        <v>25</v>
      </c>
      <c r="C26" s="362" t="s">
        <v>545</v>
      </c>
      <c r="D26" s="361">
        <v>114.23</v>
      </c>
      <c r="E26" s="372" t="s">
        <v>547</v>
      </c>
      <c r="F26" s="382" t="str">
        <f t="shared" si="7"/>
        <v>hoch</v>
      </c>
      <c r="G26" s="304">
        <v>2.44</v>
      </c>
      <c r="H26" s="353">
        <v>49.3</v>
      </c>
      <c r="I26" s="353">
        <v>30790</v>
      </c>
      <c r="J26" s="353">
        <f t="shared" si="0"/>
        <v>49.3</v>
      </c>
      <c r="K26" s="353">
        <v>2.44</v>
      </c>
      <c r="L26" s="353">
        <v>3.04</v>
      </c>
      <c r="M26" s="353">
        <f t="shared" si="8"/>
        <v>124.25638679944697</v>
      </c>
      <c r="N26" s="353">
        <v>7800</v>
      </c>
      <c r="O26" s="353">
        <f t="shared" si="1"/>
        <v>124.25638679944697</v>
      </c>
      <c r="P26" s="304">
        <f t="shared" si="2"/>
        <v>244.20994123489757</v>
      </c>
      <c r="Q26" s="304">
        <f t="shared" si="3"/>
        <v>114.91193893521725</v>
      </c>
      <c r="R26" s="304">
        <f t="shared" si="4"/>
        <v>127.67993215024138</v>
      </c>
      <c r="S26" s="304">
        <f t="shared" si="5"/>
        <v>0.02743574904027014</v>
      </c>
      <c r="T26" s="304">
        <f t="shared" si="6"/>
        <v>0.02743574904027014</v>
      </c>
    </row>
    <row r="27" spans="1:20" ht="12.75">
      <c r="A27" s="156" t="s">
        <v>504</v>
      </c>
      <c r="B27" s="542">
        <v>25</v>
      </c>
      <c r="C27" s="362" t="s">
        <v>563</v>
      </c>
      <c r="D27" s="361">
        <v>112.22</v>
      </c>
      <c r="E27" s="372" t="s">
        <v>916</v>
      </c>
      <c r="F27" s="382" t="str">
        <f t="shared" si="7"/>
        <v>hoch</v>
      </c>
      <c r="G27" s="304">
        <v>2.75</v>
      </c>
      <c r="H27" s="353">
        <v>5.51</v>
      </c>
      <c r="I27" s="353">
        <v>44700</v>
      </c>
      <c r="J27" s="353">
        <f t="shared" si="0"/>
        <v>5.51</v>
      </c>
      <c r="K27" s="353">
        <v>7.9</v>
      </c>
      <c r="L27" s="353">
        <v>0.161</v>
      </c>
      <c r="M27" s="353">
        <f t="shared" si="8"/>
        <v>6.580683642997028</v>
      </c>
      <c r="N27" s="353">
        <v>8000</v>
      </c>
      <c r="O27" s="353">
        <f t="shared" si="1"/>
        <v>6.580683642997028</v>
      </c>
      <c r="P27" s="304">
        <f t="shared" si="2"/>
        <v>246.32706293322013</v>
      </c>
      <c r="Q27" s="304">
        <f t="shared" si="3"/>
        <v>113.0908687969693</v>
      </c>
      <c r="R27" s="304">
        <f t="shared" si="4"/>
        <v>125.65652088552145</v>
      </c>
      <c r="S27" s="304">
        <f t="shared" si="5"/>
        <v>0.027695108775323617</v>
      </c>
      <c r="T27" s="304">
        <f t="shared" si="6"/>
        <v>0.027695108775323617</v>
      </c>
    </row>
    <row r="28" spans="1:20" ht="12.75">
      <c r="A28" s="156" t="s">
        <v>510</v>
      </c>
      <c r="B28" s="542">
        <v>25</v>
      </c>
      <c r="C28" s="362" t="s">
        <v>548</v>
      </c>
      <c r="D28" s="361">
        <v>128.26</v>
      </c>
      <c r="E28" s="372" t="s">
        <v>549</v>
      </c>
      <c r="F28" s="382" t="str">
        <f t="shared" si="7"/>
        <v>hoch</v>
      </c>
      <c r="G28" s="304">
        <v>2.971</v>
      </c>
      <c r="H28" s="353">
        <v>4.45</v>
      </c>
      <c r="I28" s="353">
        <v>36910</v>
      </c>
      <c r="J28" s="353">
        <f t="shared" si="0"/>
        <v>4.45</v>
      </c>
      <c r="K28" s="353">
        <v>0.285</v>
      </c>
      <c r="L28" s="353">
        <v>2.063</v>
      </c>
      <c r="M28" s="353">
        <f t="shared" si="8"/>
        <v>84.32267301554576</v>
      </c>
      <c r="N28" s="353">
        <v>8200</v>
      </c>
      <c r="O28" s="353">
        <f t="shared" si="1"/>
        <v>84.32267301554576</v>
      </c>
      <c r="P28" s="304">
        <f t="shared" si="2"/>
        <v>230.90205590093376</v>
      </c>
      <c r="Q28" s="304">
        <f t="shared" si="3"/>
        <v>127.53710770154998</v>
      </c>
      <c r="R28" s="304">
        <f t="shared" si="4"/>
        <v>141.70789744616664</v>
      </c>
      <c r="S28" s="304">
        <f t="shared" si="5"/>
        <v>0.025801916205289255</v>
      </c>
      <c r="T28" s="304">
        <f t="shared" si="6"/>
        <v>0.025801916205289255</v>
      </c>
    </row>
    <row r="29" spans="1:20" ht="12.75">
      <c r="A29" s="156" t="s">
        <v>351</v>
      </c>
      <c r="B29" s="542">
        <v>25</v>
      </c>
      <c r="C29" s="362" t="s">
        <v>550</v>
      </c>
      <c r="D29" s="361">
        <v>142.29</v>
      </c>
      <c r="E29" s="372" t="s">
        <v>551</v>
      </c>
      <c r="F29" s="382" t="str">
        <f t="shared" si="7"/>
        <v>hoch</v>
      </c>
      <c r="G29" s="304">
        <v>3.236</v>
      </c>
      <c r="H29" s="353">
        <v>1.43</v>
      </c>
      <c r="I29" s="353">
        <v>38750</v>
      </c>
      <c r="J29" s="353">
        <f t="shared" si="0"/>
        <v>1.43</v>
      </c>
      <c r="K29" s="353">
        <v>0.052</v>
      </c>
      <c r="L29" s="353">
        <v>5.15</v>
      </c>
      <c r="M29" s="353">
        <f t="shared" si="8"/>
        <v>210.50012895301052</v>
      </c>
      <c r="N29" s="353">
        <v>8500</v>
      </c>
      <c r="O29" s="353">
        <f t="shared" si="1"/>
        <v>210.50012895301052</v>
      </c>
      <c r="P29" s="304">
        <f t="shared" si="2"/>
        <v>219.6803206431953</v>
      </c>
      <c r="Q29" s="304">
        <f t="shared" si="3"/>
        <v>140.02440600094175</v>
      </c>
      <c r="R29" s="304">
        <f t="shared" si="4"/>
        <v>155.58267333437973</v>
      </c>
      <c r="S29" s="304">
        <f t="shared" si="5"/>
        <v>0.024420687953967176</v>
      </c>
      <c r="T29" s="304">
        <f t="shared" si="6"/>
        <v>0.024420687953967176</v>
      </c>
    </row>
    <row r="30" spans="1:20" ht="12.75">
      <c r="A30" s="156" t="s">
        <v>512</v>
      </c>
      <c r="B30" s="542">
        <v>25</v>
      </c>
      <c r="C30" s="362" t="s">
        <v>552</v>
      </c>
      <c r="D30" s="361">
        <v>170.34</v>
      </c>
      <c r="E30" s="372" t="s">
        <v>553</v>
      </c>
      <c r="F30" s="382" t="str">
        <f t="shared" si="7"/>
        <v>hoch</v>
      </c>
      <c r="G30" s="304">
        <v>3.768</v>
      </c>
      <c r="H30" s="353">
        <v>0.135</v>
      </c>
      <c r="I30" s="353">
        <v>61510</v>
      </c>
      <c r="J30" s="353">
        <f t="shared" si="0"/>
        <v>0.135</v>
      </c>
      <c r="K30" s="353">
        <v>0.0037</v>
      </c>
      <c r="L30" s="353">
        <v>8.24</v>
      </c>
      <c r="M30" s="353">
        <f t="shared" si="8"/>
        <v>336.8002063248168</v>
      </c>
      <c r="N30" s="353">
        <v>8700</v>
      </c>
      <c r="O30" s="353">
        <f t="shared" si="1"/>
        <v>336.8002063248168</v>
      </c>
      <c r="P30" s="304">
        <f t="shared" si="2"/>
        <v>201.6535702744624</v>
      </c>
      <c r="Q30" s="304">
        <f t="shared" si="3"/>
        <v>164.63361302949738</v>
      </c>
      <c r="R30" s="304">
        <f t="shared" si="4"/>
        <v>182.92623669944152</v>
      </c>
      <c r="S30" s="304">
        <f t="shared" si="5"/>
        <v>0.02219946430355385</v>
      </c>
      <c r="T30" s="304">
        <f t="shared" si="6"/>
        <v>0.02219946430355385</v>
      </c>
    </row>
    <row r="31" spans="1:20" ht="12.75">
      <c r="A31" s="156" t="s">
        <v>511</v>
      </c>
      <c r="B31" s="542">
        <v>25</v>
      </c>
      <c r="C31" s="362" t="s">
        <v>554</v>
      </c>
      <c r="D31" s="361">
        <v>198.4</v>
      </c>
      <c r="E31" s="372" t="s">
        <v>555</v>
      </c>
      <c r="F31" s="382" t="str">
        <f t="shared" si="7"/>
        <v>hoch</v>
      </c>
      <c r="G31" s="304">
        <v>4.3</v>
      </c>
      <c r="H31" s="353">
        <v>0.0116</v>
      </c>
      <c r="I31" s="353">
        <v>71300</v>
      </c>
      <c r="J31" s="353">
        <f t="shared" si="0"/>
        <v>0.0116</v>
      </c>
      <c r="K31" s="353">
        <v>0.0022</v>
      </c>
      <c r="L31" s="353">
        <v>9.2</v>
      </c>
      <c r="M31" s="353">
        <f t="shared" si="8"/>
        <v>376.0390653141158</v>
      </c>
      <c r="N31" s="353">
        <v>9000</v>
      </c>
      <c r="O31" s="353">
        <f t="shared" si="1"/>
        <v>376.0390653141158</v>
      </c>
      <c r="P31" s="304">
        <f t="shared" si="2"/>
        <v>187.64667065274526</v>
      </c>
      <c r="Q31" s="304">
        <f t="shared" si="3"/>
        <v>188.84686866900543</v>
      </c>
      <c r="R31" s="304">
        <f t="shared" si="4"/>
        <v>209.8298540766727</v>
      </c>
      <c r="S31" s="304">
        <f t="shared" si="5"/>
        <v>0.02047591091522274</v>
      </c>
      <c r="T31" s="304">
        <f t="shared" si="6"/>
        <v>0.02047591091522274</v>
      </c>
    </row>
    <row r="32" spans="1:20" ht="12.75">
      <c r="A32" s="156" t="s">
        <v>515</v>
      </c>
      <c r="B32" s="542">
        <v>25</v>
      </c>
      <c r="C32" s="362" t="s">
        <v>556</v>
      </c>
      <c r="D32" s="361">
        <v>226.45</v>
      </c>
      <c r="E32" s="372" t="s">
        <v>557</v>
      </c>
      <c r="F32" s="382" t="str">
        <f t="shared" si="7"/>
        <v>hoch</v>
      </c>
      <c r="G32" s="304">
        <v>4.832</v>
      </c>
      <c r="H32" s="353">
        <v>0.00143</v>
      </c>
      <c r="I32" s="353">
        <v>81380</v>
      </c>
      <c r="J32" s="353">
        <f t="shared" si="0"/>
        <v>0.00143</v>
      </c>
      <c r="K32" s="353">
        <v>0.0009</v>
      </c>
      <c r="L32" s="353">
        <v>29</v>
      </c>
      <c r="M32" s="353">
        <f t="shared" si="8"/>
        <v>1185.3405319684086</v>
      </c>
      <c r="N32" s="353">
        <v>9000</v>
      </c>
      <c r="O32" s="353">
        <f t="shared" si="1"/>
        <v>1185.3405319684086</v>
      </c>
      <c r="P32" s="304">
        <f t="shared" si="2"/>
        <v>176.34516825298522</v>
      </c>
      <c r="Q32" s="304">
        <f t="shared" si="3"/>
        <v>212.7098635453911</v>
      </c>
      <c r="R32" s="304">
        <f t="shared" si="4"/>
        <v>236.34429282821233</v>
      </c>
      <c r="S32" s="304">
        <f t="shared" si="5"/>
        <v>0.01908995844733023</v>
      </c>
      <c r="T32" s="304">
        <f t="shared" si="6"/>
        <v>0.01908995844733023</v>
      </c>
    </row>
    <row r="33" spans="1:20" ht="12.75">
      <c r="A33" s="156" t="s">
        <v>513</v>
      </c>
      <c r="B33" s="542">
        <v>25</v>
      </c>
      <c r="C33" s="362" t="s">
        <v>558</v>
      </c>
      <c r="D33" s="361">
        <v>254.5</v>
      </c>
      <c r="E33" s="372" t="s">
        <v>559</v>
      </c>
      <c r="F33" s="382" t="str">
        <f t="shared" si="7"/>
        <v>hoch</v>
      </c>
      <c r="G33" s="304">
        <v>5.363</v>
      </c>
      <c r="H33" s="353">
        <v>0.000341</v>
      </c>
      <c r="I33" s="353">
        <v>90000</v>
      </c>
      <c r="J33" s="353">
        <f t="shared" si="0"/>
        <v>0.000341</v>
      </c>
      <c r="K33" s="353">
        <v>9.358E-05</v>
      </c>
      <c r="L33" s="353">
        <v>51.2</v>
      </c>
      <c r="M33" s="353">
        <f t="shared" si="8"/>
        <v>2092.7391460959493</v>
      </c>
      <c r="N33" s="353">
        <v>9000</v>
      </c>
      <c r="O33" s="353">
        <f t="shared" si="1"/>
        <v>2092.7391460959493</v>
      </c>
      <c r="P33" s="304">
        <f t="shared" si="2"/>
        <v>166.96103586847147</v>
      </c>
      <c r="Q33" s="304">
        <f t="shared" si="3"/>
        <v>236.27780848041</v>
      </c>
      <c r="R33" s="304">
        <f t="shared" si="4"/>
        <v>262.53089831156666</v>
      </c>
      <c r="S33" s="304">
        <f t="shared" si="5"/>
        <v>0.01794426971598495</v>
      </c>
      <c r="T33" s="304">
        <f t="shared" si="6"/>
        <v>0.01794426971598495</v>
      </c>
    </row>
    <row r="34" spans="1:20" ht="12.75">
      <c r="A34" s="156" t="s">
        <v>514</v>
      </c>
      <c r="B34" s="542">
        <v>25</v>
      </c>
      <c r="C34" s="362" t="s">
        <v>560</v>
      </c>
      <c r="D34" s="361">
        <v>282.56</v>
      </c>
      <c r="E34" s="372" t="s">
        <v>561</v>
      </c>
      <c r="F34" s="382" t="str">
        <f t="shared" si="7"/>
        <v>hoch</v>
      </c>
      <c r="G34" s="304">
        <v>5.895</v>
      </c>
      <c r="H34" s="353">
        <v>4.62E-06</v>
      </c>
      <c r="I34" s="353">
        <v>95000</v>
      </c>
      <c r="J34" s="353">
        <f t="shared" si="0"/>
        <v>4.62E-06</v>
      </c>
      <c r="K34" s="353">
        <v>9.4E-06</v>
      </c>
      <c r="L34" s="353">
        <v>12.3</v>
      </c>
      <c r="M34" s="353">
        <f t="shared" si="8"/>
        <v>502.74788080039406</v>
      </c>
      <c r="N34" s="353">
        <v>9000</v>
      </c>
      <c r="O34" s="353">
        <f t="shared" si="1"/>
        <v>502.74788080039406</v>
      </c>
      <c r="P34" s="304">
        <f t="shared" si="2"/>
        <v>158.99538963521277</v>
      </c>
      <c r="Q34" s="304">
        <f t="shared" si="3"/>
        <v>259.5947038307389</v>
      </c>
      <c r="R34" s="304">
        <f t="shared" si="4"/>
        <v>288.4385598119321</v>
      </c>
      <c r="S34" s="304">
        <f t="shared" si="5"/>
        <v>0.01697663666392744</v>
      </c>
      <c r="T34" s="304">
        <f t="shared" si="6"/>
        <v>0.01697663666392744</v>
      </c>
    </row>
    <row r="35" spans="1:20" ht="13.5" thickBot="1">
      <c r="A35" s="156"/>
      <c r="B35" s="540"/>
      <c r="C35" s="362"/>
      <c r="D35" s="361"/>
      <c r="E35" s="372"/>
      <c r="F35" s="372"/>
      <c r="G35" s="304"/>
      <c r="H35" s="353"/>
      <c r="I35" s="353"/>
      <c r="J35" s="353"/>
      <c r="K35" s="353"/>
      <c r="L35" s="353"/>
      <c r="M35" s="353"/>
      <c r="N35" s="353"/>
      <c r="O35" s="353"/>
      <c r="P35" s="304"/>
      <c r="Q35" s="304"/>
      <c r="R35" s="304"/>
      <c r="S35" s="304"/>
      <c r="T35" s="304"/>
    </row>
    <row r="36" spans="1:20" ht="12.75">
      <c r="A36" s="157" t="s">
        <v>343</v>
      </c>
      <c r="B36" s="541"/>
      <c r="C36" s="363"/>
      <c r="D36" s="373"/>
      <c r="E36" s="374"/>
      <c r="F36" s="374"/>
      <c r="G36" s="383"/>
      <c r="H36" s="354"/>
      <c r="I36" s="354"/>
      <c r="J36" s="354"/>
      <c r="K36" s="354"/>
      <c r="L36" s="354"/>
      <c r="M36" s="354"/>
      <c r="N36" s="354"/>
      <c r="O36" s="354"/>
      <c r="P36" s="383"/>
      <c r="Q36" s="383"/>
      <c r="R36" s="383"/>
      <c r="S36" s="383"/>
      <c r="T36" s="383"/>
    </row>
    <row r="37" spans="1:20" ht="12.75">
      <c r="A37" s="156" t="s">
        <v>1007</v>
      </c>
      <c r="B37" s="542">
        <v>25</v>
      </c>
      <c r="C37" s="362" t="s">
        <v>562</v>
      </c>
      <c r="D37" s="361">
        <v>56.11</v>
      </c>
      <c r="E37" s="372" t="s">
        <v>1008</v>
      </c>
      <c r="F37" s="382" t="str">
        <f aca="true" t="shared" si="9" ref="F37:F43">IF($M37&lt;0.00001226,"gering",IF($M37&lt;0.04087,"mittel","hoch"))</f>
        <v>hoch</v>
      </c>
      <c r="G37" s="304">
        <v>1.641</v>
      </c>
      <c r="H37" s="353">
        <v>2250</v>
      </c>
      <c r="I37" s="353">
        <v>22000</v>
      </c>
      <c r="J37" s="353">
        <f aca="true" t="shared" si="10" ref="J37:J43">$H37/(EXP(-$I37/8.314*(1/298.15-1/(B37+273.15))))</f>
        <v>2250</v>
      </c>
      <c r="K37" s="353">
        <v>221</v>
      </c>
      <c r="L37" s="353">
        <v>0.0233</v>
      </c>
      <c r="M37" s="353">
        <f aca="true" t="shared" si="11" ref="M37:M43">$L37/(0.000082057834*298.15)</f>
        <v>0.9523598067194456</v>
      </c>
      <c r="N37" s="353">
        <v>3000</v>
      </c>
      <c r="O37" s="353">
        <f aca="true" t="shared" si="12" ref="O37:O43">$M37*EXP($N37*(1/298.15-1/(273.15+$B37)))</f>
        <v>0.9523598067194456</v>
      </c>
      <c r="P37" s="304">
        <f aca="true" t="shared" si="13" ref="P37:P43">0.001*($B37+273.15)^1.75*SQRT((28.97+$D37)/(28.97*$D37))/(1*(20.1^(1/3)+($Q37)^(1/3))^2)/10000*86400*365</f>
        <v>349.3248475070012</v>
      </c>
      <c r="Q37" s="304">
        <f aca="true" t="shared" si="14" ref="Q37:Q43">0.9*$R37</f>
        <v>60.61102842530726</v>
      </c>
      <c r="R37" s="304">
        <f aca="true" t="shared" si="15" ref="R37:R43">(13.26*0.00001/(0.8904^1.14*$S37/(0.0001*86400*365)))^(1/0.589)</f>
        <v>67.34558713923029</v>
      </c>
      <c r="S37" s="304">
        <f aca="true" t="shared" si="16" ref="S37:S43">0.00000000000003595*298.15/(0.001*$D37^0.53)*3600*24*365</f>
        <v>0.039989776133861066</v>
      </c>
      <c r="T37" s="304">
        <f aca="true" t="shared" si="17" ref="T37:T43">0.00000000000003595*($B37+273.15)/(0.001*$D37^0.53)*3600*24*365</f>
        <v>0.039989776133861066</v>
      </c>
    </row>
    <row r="38" spans="1:20" ht="12.75">
      <c r="A38" s="156" t="s">
        <v>1009</v>
      </c>
      <c r="B38" s="542">
        <v>25</v>
      </c>
      <c r="C38" s="362" t="s">
        <v>533</v>
      </c>
      <c r="D38" s="361">
        <v>70.14</v>
      </c>
      <c r="E38" s="372" t="s">
        <v>1010</v>
      </c>
      <c r="F38" s="382" t="str">
        <f t="shared" si="9"/>
        <v>hoch</v>
      </c>
      <c r="G38" s="304">
        <v>1.9077</v>
      </c>
      <c r="H38" s="353">
        <v>635</v>
      </c>
      <c r="I38" s="353">
        <v>26310</v>
      </c>
      <c r="J38" s="353">
        <f t="shared" si="10"/>
        <v>635</v>
      </c>
      <c r="K38" s="353">
        <v>148</v>
      </c>
      <c r="L38" s="353">
        <v>0.396</v>
      </c>
      <c r="M38" s="353">
        <f t="shared" si="11"/>
        <v>16.186029333085855</v>
      </c>
      <c r="N38" s="353">
        <v>3200</v>
      </c>
      <c r="O38" s="353">
        <f t="shared" si="12"/>
        <v>16.186029333085855</v>
      </c>
      <c r="P38" s="304">
        <f t="shared" si="13"/>
        <v>311.23078355735043</v>
      </c>
      <c r="Q38" s="304">
        <f t="shared" si="14"/>
        <v>74.09145792439351</v>
      </c>
      <c r="R38" s="304">
        <f t="shared" si="15"/>
        <v>82.32384213821501</v>
      </c>
      <c r="S38" s="304">
        <f t="shared" si="16"/>
        <v>0.035528630040565036</v>
      </c>
      <c r="T38" s="304">
        <f t="shared" si="17"/>
        <v>0.035528630040565036</v>
      </c>
    </row>
    <row r="39" spans="1:20" ht="12.75">
      <c r="A39" s="156" t="s">
        <v>1011</v>
      </c>
      <c r="B39" s="542">
        <v>25</v>
      </c>
      <c r="C39" s="362" t="s">
        <v>540</v>
      </c>
      <c r="D39" s="361">
        <v>84.16</v>
      </c>
      <c r="E39" s="372" t="s">
        <v>1012</v>
      </c>
      <c r="F39" s="382" t="str">
        <f t="shared" si="9"/>
        <v>hoch</v>
      </c>
      <c r="G39" s="304">
        <v>2.173</v>
      </c>
      <c r="H39" s="353">
        <v>173</v>
      </c>
      <c r="I39" s="353">
        <v>30600</v>
      </c>
      <c r="J39" s="353">
        <f t="shared" si="10"/>
        <v>173</v>
      </c>
      <c r="K39" s="353">
        <v>50</v>
      </c>
      <c r="L39" s="353">
        <v>0.2164</v>
      </c>
      <c r="M39" s="353">
        <f t="shared" si="11"/>
        <v>8.84509279717116</v>
      </c>
      <c r="N39" s="353">
        <v>3300</v>
      </c>
      <c r="O39" s="353">
        <f t="shared" si="12"/>
        <v>8.84509279717116</v>
      </c>
      <c r="P39" s="304">
        <f t="shared" si="13"/>
        <v>283.8674058940016</v>
      </c>
      <c r="Q39" s="304">
        <f t="shared" si="14"/>
        <v>87.29325203206628</v>
      </c>
      <c r="R39" s="304">
        <f t="shared" si="15"/>
        <v>96.99250225785141</v>
      </c>
      <c r="S39" s="304">
        <f t="shared" si="16"/>
        <v>0.03225776547567722</v>
      </c>
      <c r="T39" s="304">
        <f t="shared" si="17"/>
        <v>0.03225776547567722</v>
      </c>
    </row>
    <row r="40" spans="1:20" ht="12.75">
      <c r="A40" s="156" t="s">
        <v>1013</v>
      </c>
      <c r="B40" s="542">
        <v>25</v>
      </c>
      <c r="C40" s="362" t="s">
        <v>543</v>
      </c>
      <c r="D40" s="361">
        <v>98.19</v>
      </c>
      <c r="E40" s="372" t="s">
        <v>1014</v>
      </c>
      <c r="F40" s="382" t="str">
        <f t="shared" si="9"/>
        <v>hoch</v>
      </c>
      <c r="G40" s="304">
        <v>2.439</v>
      </c>
      <c r="H40" s="353">
        <v>59.3</v>
      </c>
      <c r="I40" s="353">
        <v>35930</v>
      </c>
      <c r="J40" s="353">
        <f t="shared" si="10"/>
        <v>59.3</v>
      </c>
      <c r="K40" s="353">
        <v>18.2</v>
      </c>
      <c r="L40" s="353">
        <v>0.421</v>
      </c>
      <c r="M40" s="353">
        <f t="shared" si="11"/>
        <v>17.207874619265517</v>
      </c>
      <c r="N40" s="353">
        <v>3400</v>
      </c>
      <c r="O40" s="353">
        <f t="shared" si="12"/>
        <v>17.207874619265517</v>
      </c>
      <c r="P40" s="304">
        <f t="shared" si="13"/>
        <v>262.9652807156793</v>
      </c>
      <c r="Q40" s="304">
        <f t="shared" si="14"/>
        <v>100.28470106345748</v>
      </c>
      <c r="R40" s="304">
        <f t="shared" si="15"/>
        <v>111.42744562606386</v>
      </c>
      <c r="S40" s="304">
        <f t="shared" si="16"/>
        <v>0.029726560861537122</v>
      </c>
      <c r="T40" s="304">
        <f t="shared" si="17"/>
        <v>0.029726560861537122</v>
      </c>
    </row>
    <row r="41" spans="1:20" ht="12.75">
      <c r="A41" s="156" t="s">
        <v>1015</v>
      </c>
      <c r="B41" s="542">
        <v>25</v>
      </c>
      <c r="C41" s="362" t="s">
        <v>563</v>
      </c>
      <c r="D41" s="361">
        <v>112.22</v>
      </c>
      <c r="E41" s="372" t="s">
        <v>1016</v>
      </c>
      <c r="F41" s="382" t="str">
        <f t="shared" si="9"/>
        <v>hoch</v>
      </c>
      <c r="G41" s="304">
        <v>2.705</v>
      </c>
      <c r="H41" s="353">
        <v>17.4</v>
      </c>
      <c r="I41" s="353">
        <v>34070</v>
      </c>
      <c r="J41" s="353">
        <f t="shared" si="10"/>
        <v>17.4</v>
      </c>
      <c r="K41" s="353">
        <v>4.1</v>
      </c>
      <c r="L41" s="353">
        <v>0.627</v>
      </c>
      <c r="M41" s="353">
        <f t="shared" si="11"/>
        <v>25.62787977738594</v>
      </c>
      <c r="N41" s="353">
        <v>3500</v>
      </c>
      <c r="O41" s="353">
        <f t="shared" si="12"/>
        <v>25.62787977738594</v>
      </c>
      <c r="P41" s="304">
        <f t="shared" si="13"/>
        <v>246.32706293322013</v>
      </c>
      <c r="Q41" s="304">
        <f t="shared" si="14"/>
        <v>113.0908687969693</v>
      </c>
      <c r="R41" s="304">
        <f t="shared" si="15"/>
        <v>125.65652088552145</v>
      </c>
      <c r="S41" s="304">
        <f t="shared" si="16"/>
        <v>0.027695108775323617</v>
      </c>
      <c r="T41" s="304">
        <f t="shared" si="17"/>
        <v>0.027695108775323617</v>
      </c>
    </row>
    <row r="42" spans="1:20" ht="12.75">
      <c r="A42" s="156" t="s">
        <v>1019</v>
      </c>
      <c r="B42" s="542">
        <v>25</v>
      </c>
      <c r="C42" s="362" t="s">
        <v>564</v>
      </c>
      <c r="D42" s="361">
        <v>126.24</v>
      </c>
      <c r="E42" s="372" t="s">
        <v>1020</v>
      </c>
      <c r="F42" s="382" t="str">
        <f t="shared" si="9"/>
        <v>hoch</v>
      </c>
      <c r="G42" s="304">
        <v>2.971</v>
      </c>
      <c r="H42" s="353">
        <v>3.75</v>
      </c>
      <c r="I42" s="353">
        <v>42000</v>
      </c>
      <c r="J42" s="353">
        <f t="shared" si="10"/>
        <v>3.75</v>
      </c>
      <c r="K42" s="353">
        <v>3.619</v>
      </c>
      <c r="L42" s="353">
        <v>0.2405</v>
      </c>
      <c r="M42" s="353">
        <f t="shared" si="11"/>
        <v>9.830151653048354</v>
      </c>
      <c r="N42" s="353">
        <v>3600</v>
      </c>
      <c r="O42" s="353">
        <f t="shared" si="12"/>
        <v>9.830151653048354</v>
      </c>
      <c r="P42" s="304">
        <f t="shared" si="13"/>
        <v>232.67521021315363</v>
      </c>
      <c r="Q42" s="304">
        <f t="shared" si="14"/>
        <v>125.72826124942684</v>
      </c>
      <c r="R42" s="304">
        <f t="shared" si="15"/>
        <v>139.6980680549187</v>
      </c>
      <c r="S42" s="304">
        <f t="shared" si="16"/>
        <v>0.026019917355884187</v>
      </c>
      <c r="T42" s="304">
        <f t="shared" si="17"/>
        <v>0.026019917355884187</v>
      </c>
    </row>
    <row r="43" spans="1:20" ht="12.75">
      <c r="A43" s="156" t="s">
        <v>1017</v>
      </c>
      <c r="B43" s="542">
        <v>25</v>
      </c>
      <c r="C43" s="362" t="s">
        <v>565</v>
      </c>
      <c r="D43" s="361">
        <v>140.27</v>
      </c>
      <c r="E43" s="372" t="s">
        <v>1018</v>
      </c>
      <c r="F43" s="382" t="str">
        <f t="shared" si="9"/>
        <v>hoch</v>
      </c>
      <c r="G43" s="304">
        <v>3.236</v>
      </c>
      <c r="H43" s="353">
        <v>1.67</v>
      </c>
      <c r="I43" s="353">
        <v>50430</v>
      </c>
      <c r="J43" s="353">
        <f t="shared" si="10"/>
        <v>1.67</v>
      </c>
      <c r="K43" s="353">
        <v>0.57</v>
      </c>
      <c r="L43" s="353">
        <v>2.68</v>
      </c>
      <c r="M43" s="353">
        <f t="shared" si="11"/>
        <v>109.54181467845984</v>
      </c>
      <c r="N43" s="353">
        <v>3700</v>
      </c>
      <c r="O43" s="353">
        <f t="shared" si="12"/>
        <v>109.54181467845984</v>
      </c>
      <c r="P43" s="304">
        <f t="shared" si="13"/>
        <v>221.18852026591853</v>
      </c>
      <c r="Q43" s="304">
        <f t="shared" si="14"/>
        <v>138.23441187356863</v>
      </c>
      <c r="R43" s="304">
        <f t="shared" si="15"/>
        <v>153.5937909706318</v>
      </c>
      <c r="S43" s="304">
        <f t="shared" si="16"/>
        <v>0.024606450615248018</v>
      </c>
      <c r="T43" s="304">
        <f t="shared" si="17"/>
        <v>0.024606450615248018</v>
      </c>
    </row>
    <row r="44" spans="1:20" ht="13.5" thickBot="1">
      <c r="A44" s="131"/>
      <c r="B44" s="539"/>
      <c r="C44" s="318"/>
      <c r="D44" s="361"/>
      <c r="E44" s="372"/>
      <c r="F44" s="372"/>
      <c r="G44" s="304"/>
      <c r="H44" s="353"/>
      <c r="I44" s="353"/>
      <c r="J44" s="353"/>
      <c r="K44" s="353"/>
      <c r="L44" s="353"/>
      <c r="M44" s="353"/>
      <c r="N44" s="353"/>
      <c r="O44" s="353"/>
      <c r="P44" s="304"/>
      <c r="Q44" s="304"/>
      <c r="R44" s="304"/>
      <c r="S44" s="304"/>
      <c r="T44" s="304"/>
    </row>
    <row r="45" spans="1:20" ht="12.75">
      <c r="A45" s="157" t="s">
        <v>582</v>
      </c>
      <c r="B45" s="541"/>
      <c r="C45" s="363"/>
      <c r="D45" s="373"/>
      <c r="E45" s="374"/>
      <c r="F45" s="374"/>
      <c r="G45" s="383"/>
      <c r="H45" s="354"/>
      <c r="I45" s="354"/>
      <c r="J45" s="354"/>
      <c r="K45" s="354"/>
      <c r="L45" s="354"/>
      <c r="M45" s="354"/>
      <c r="N45" s="354"/>
      <c r="O45" s="354"/>
      <c r="P45" s="383"/>
      <c r="Q45" s="383"/>
      <c r="R45" s="383"/>
      <c r="S45" s="383"/>
      <c r="T45" s="383"/>
    </row>
    <row r="46" spans="1:20" ht="12.75">
      <c r="A46" s="123" t="s">
        <v>112</v>
      </c>
      <c r="B46" s="542">
        <v>25</v>
      </c>
      <c r="C46" s="364" t="s">
        <v>566</v>
      </c>
      <c r="D46" s="361">
        <v>78.11</v>
      </c>
      <c r="E46" s="372" t="s">
        <v>567</v>
      </c>
      <c r="F46" s="382" t="str">
        <f aca="true" t="shared" si="18" ref="F46:F55">IF($M46&lt;0.00001226,"gering",IF($M46&lt;0.04087,"mittel","hoch"))</f>
        <v>hoch</v>
      </c>
      <c r="G46" s="304">
        <v>2.219</v>
      </c>
      <c r="H46" s="353">
        <v>94.8</v>
      </c>
      <c r="I46" s="353">
        <v>30720</v>
      </c>
      <c r="J46" s="353">
        <f aca="true" t="shared" si="19" ref="J46:J55">$H46/(EXP(-$I46/8.314*(1/298.15-1/(B46+273.15))))</f>
        <v>94.8</v>
      </c>
      <c r="K46" s="353">
        <v>1790</v>
      </c>
      <c r="L46" s="353">
        <v>0.00555</v>
      </c>
      <c r="M46" s="353">
        <f aca="true" t="shared" si="20" ref="M46:M55">$L46/(0.000082057834*298.15)</f>
        <v>0.2268496535318851</v>
      </c>
      <c r="N46" s="353">
        <v>4000</v>
      </c>
      <c r="O46" s="353">
        <f aca="true" t="shared" si="21" ref="O46:O55">$M46*EXP($N46*(1/298.15-1/(273.15+$B46)))</f>
        <v>0.2268496535318851</v>
      </c>
      <c r="P46" s="304">
        <f aca="true" t="shared" si="22" ref="P46:P55">0.001*($B46+273.15)^1.75*SQRT((28.97+$D46)/(28.97*$D46))/(1*(20.1^(1/3)+($Q46)^(1/3))^2)/10000*86400*365</f>
        <v>294.6992881607424</v>
      </c>
      <c r="Q46" s="304">
        <f aca="true" t="shared" si="23" ref="Q46:Q55">0.9*$R46</f>
        <v>81.62571408610614</v>
      </c>
      <c r="R46" s="304">
        <f aca="true" t="shared" si="24" ref="R46:R55">(13.26*0.00001/(0.8904^1.14*$S46/(0.0001*86400*365)))^(1/0.589)</f>
        <v>90.69523787345126</v>
      </c>
      <c r="S46" s="304">
        <f aca="true" t="shared" si="25" ref="S46:S55">0.00000000000003595*298.15/(0.001*$D46^0.53)*3600*24*365</f>
        <v>0.03355875166054029</v>
      </c>
      <c r="T46" s="304">
        <f aca="true" t="shared" si="26" ref="T46:T55">0.00000000000003595*($B46+273.15)/(0.001*$D46^0.53)*3600*24*365</f>
        <v>0.03355875166054029</v>
      </c>
    </row>
    <row r="47" spans="1:20" ht="12.75">
      <c r="A47" s="123" t="s">
        <v>114</v>
      </c>
      <c r="B47" s="542">
        <v>25</v>
      </c>
      <c r="C47" s="364" t="s">
        <v>568</v>
      </c>
      <c r="D47" s="361">
        <v>92.14</v>
      </c>
      <c r="E47" s="372" t="s">
        <v>569</v>
      </c>
      <c r="F47" s="382" t="str">
        <f t="shared" si="18"/>
        <v>hoch</v>
      </c>
      <c r="G47" s="304">
        <v>2.428</v>
      </c>
      <c r="H47" s="353">
        <v>28.4</v>
      </c>
      <c r="I47" s="353">
        <v>35650</v>
      </c>
      <c r="J47" s="353">
        <f t="shared" si="19"/>
        <v>28.4</v>
      </c>
      <c r="K47" s="353">
        <v>526</v>
      </c>
      <c r="L47" s="353">
        <v>0.00664</v>
      </c>
      <c r="M47" s="353">
        <f t="shared" si="20"/>
        <v>0.2714021080093184</v>
      </c>
      <c r="N47" s="353">
        <v>4100</v>
      </c>
      <c r="O47" s="353">
        <f t="shared" si="21"/>
        <v>0.2714021080093184</v>
      </c>
      <c r="P47" s="304">
        <f t="shared" si="22"/>
        <v>271.3548241571295</v>
      </c>
      <c r="Q47" s="304">
        <f t="shared" si="23"/>
        <v>94.7070319838236</v>
      </c>
      <c r="R47" s="304">
        <f t="shared" si="24"/>
        <v>105.23003553758177</v>
      </c>
      <c r="S47" s="304">
        <f t="shared" si="25"/>
        <v>0.03074558530489545</v>
      </c>
      <c r="T47" s="304">
        <f t="shared" si="26"/>
        <v>0.03074558530489545</v>
      </c>
    </row>
    <row r="48" spans="1:20" ht="12.75">
      <c r="A48" s="123" t="s">
        <v>113</v>
      </c>
      <c r="B48" s="542">
        <v>25</v>
      </c>
      <c r="C48" s="364" t="s">
        <v>572</v>
      </c>
      <c r="D48" s="361">
        <v>106.17</v>
      </c>
      <c r="E48" s="372" t="s">
        <v>573</v>
      </c>
      <c r="F48" s="382" t="str">
        <f t="shared" si="18"/>
        <v>hoch</v>
      </c>
      <c r="G48" s="304">
        <v>2.714</v>
      </c>
      <c r="H48" s="353">
        <v>9.6</v>
      </c>
      <c r="I48" s="353">
        <v>42490</v>
      </c>
      <c r="J48" s="353">
        <f t="shared" si="19"/>
        <v>9.6</v>
      </c>
      <c r="K48" s="353">
        <v>169</v>
      </c>
      <c r="L48" s="353">
        <v>0.00788</v>
      </c>
      <c r="M48" s="353">
        <f t="shared" si="20"/>
        <v>0.32208563420382963</v>
      </c>
      <c r="N48" s="353">
        <v>5500</v>
      </c>
      <c r="O48" s="353">
        <f t="shared" si="21"/>
        <v>0.32208563420382963</v>
      </c>
      <c r="P48" s="304">
        <f t="shared" si="22"/>
        <v>253.0758604982769</v>
      </c>
      <c r="Q48" s="304">
        <f t="shared" si="23"/>
        <v>107.58953350567995</v>
      </c>
      <c r="R48" s="304">
        <f t="shared" si="24"/>
        <v>119.54392611742216</v>
      </c>
      <c r="S48" s="304">
        <f t="shared" si="25"/>
        <v>0.02852064560356113</v>
      </c>
      <c r="T48" s="304">
        <f t="shared" si="26"/>
        <v>0.02852064560356113</v>
      </c>
    </row>
    <row r="49" spans="1:20" ht="12.75">
      <c r="A49" s="123" t="s">
        <v>372</v>
      </c>
      <c r="B49" s="542">
        <v>25</v>
      </c>
      <c r="C49" s="364" t="s">
        <v>572</v>
      </c>
      <c r="D49" s="361">
        <v>106.17</v>
      </c>
      <c r="E49" s="372" t="s">
        <v>574</v>
      </c>
      <c r="F49" s="382" t="str">
        <f t="shared" si="18"/>
        <v>hoch</v>
      </c>
      <c r="G49" s="304">
        <v>2.64</v>
      </c>
      <c r="H49" s="353">
        <v>8.37</v>
      </c>
      <c r="I49" s="353">
        <v>35900</v>
      </c>
      <c r="J49" s="353">
        <f t="shared" si="19"/>
        <v>8.37</v>
      </c>
      <c r="K49" s="353">
        <v>143</v>
      </c>
      <c r="L49" s="353">
        <v>0.00642</v>
      </c>
      <c r="M49" s="353">
        <f t="shared" si="20"/>
        <v>0.26240986949093736</v>
      </c>
      <c r="N49" s="353">
        <v>5300</v>
      </c>
      <c r="O49" s="353">
        <f t="shared" si="21"/>
        <v>0.26240986949093736</v>
      </c>
      <c r="P49" s="304">
        <f t="shared" si="22"/>
        <v>253.0758604982769</v>
      </c>
      <c r="Q49" s="304">
        <f t="shared" si="23"/>
        <v>107.58953350567995</v>
      </c>
      <c r="R49" s="304">
        <f t="shared" si="24"/>
        <v>119.54392611742216</v>
      </c>
      <c r="S49" s="304">
        <f t="shared" si="25"/>
        <v>0.02852064560356113</v>
      </c>
      <c r="T49" s="304">
        <f t="shared" si="26"/>
        <v>0.02852064560356113</v>
      </c>
    </row>
    <row r="50" spans="1:20" ht="12.75">
      <c r="A50" s="123" t="s">
        <v>969</v>
      </c>
      <c r="B50" s="542">
        <v>25</v>
      </c>
      <c r="C50" s="364" t="s">
        <v>575</v>
      </c>
      <c r="D50" s="361">
        <v>120.2</v>
      </c>
      <c r="E50" s="372" t="s">
        <v>996</v>
      </c>
      <c r="F50" s="382" t="str">
        <f t="shared" si="18"/>
        <v>hoch</v>
      </c>
      <c r="G50" s="304">
        <v>2.856</v>
      </c>
      <c r="H50" s="353">
        <v>2.1</v>
      </c>
      <c r="I50" s="353">
        <v>48000</v>
      </c>
      <c r="J50" s="353">
        <f t="shared" si="19"/>
        <v>2.1</v>
      </c>
      <c r="K50" s="353">
        <v>57</v>
      </c>
      <c r="L50" s="353">
        <v>0.00616</v>
      </c>
      <c r="M50" s="353">
        <f t="shared" si="20"/>
        <v>0.25178267851466885</v>
      </c>
      <c r="N50" s="353">
        <v>4200</v>
      </c>
      <c r="O50" s="353">
        <f t="shared" si="21"/>
        <v>0.25178267851466885</v>
      </c>
      <c r="P50" s="304">
        <f t="shared" si="22"/>
        <v>238.25133326944118</v>
      </c>
      <c r="Q50" s="304">
        <f t="shared" si="23"/>
        <v>120.30211377390913</v>
      </c>
      <c r="R50" s="304">
        <f t="shared" si="24"/>
        <v>133.66901530434347</v>
      </c>
      <c r="S50" s="304">
        <f t="shared" si="25"/>
        <v>0.026704899473464876</v>
      </c>
      <c r="T50" s="304">
        <f t="shared" si="26"/>
        <v>0.026704899473464876</v>
      </c>
    </row>
    <row r="51" spans="1:20" ht="12.75">
      <c r="A51" s="123" t="s">
        <v>577</v>
      </c>
      <c r="B51" s="542">
        <v>25</v>
      </c>
      <c r="C51" s="364" t="s">
        <v>575</v>
      </c>
      <c r="D51" s="361">
        <v>120.2</v>
      </c>
      <c r="E51" s="372" t="s">
        <v>578</v>
      </c>
      <c r="F51" s="382" t="str">
        <f t="shared" si="18"/>
        <v>hoch</v>
      </c>
      <c r="G51" s="304">
        <v>2.924</v>
      </c>
      <c r="H51" s="353">
        <v>3.04</v>
      </c>
      <c r="I51" s="353">
        <v>47700</v>
      </c>
      <c r="J51" s="353">
        <f t="shared" si="19"/>
        <v>3.04</v>
      </c>
      <c r="K51" s="353">
        <v>39.99</v>
      </c>
      <c r="L51" s="353">
        <v>0.009334</v>
      </c>
      <c r="M51" s="353">
        <f t="shared" si="20"/>
        <v>0.38151615604803885</v>
      </c>
      <c r="N51" s="353">
        <v>4000</v>
      </c>
      <c r="O51" s="353">
        <f t="shared" si="21"/>
        <v>0.38151615604803885</v>
      </c>
      <c r="P51" s="304">
        <f t="shared" si="22"/>
        <v>238.25133326944118</v>
      </c>
      <c r="Q51" s="304">
        <f t="shared" si="23"/>
        <v>120.30211377390913</v>
      </c>
      <c r="R51" s="304">
        <f t="shared" si="24"/>
        <v>133.66901530434347</v>
      </c>
      <c r="S51" s="304">
        <f t="shared" si="25"/>
        <v>0.026704899473464876</v>
      </c>
      <c r="T51" s="304">
        <f t="shared" si="26"/>
        <v>0.026704899473464876</v>
      </c>
    </row>
    <row r="52" spans="1:20" ht="12.75">
      <c r="A52" s="123" t="s">
        <v>576</v>
      </c>
      <c r="B52" s="542">
        <v>25</v>
      </c>
      <c r="C52" s="364" t="s">
        <v>575</v>
      </c>
      <c r="D52" s="361">
        <v>120.2</v>
      </c>
      <c r="E52" s="372" t="s">
        <v>579</v>
      </c>
      <c r="F52" s="382" t="str">
        <f t="shared" si="18"/>
        <v>hoch</v>
      </c>
      <c r="G52" s="304">
        <v>2.98</v>
      </c>
      <c r="H52" s="353">
        <v>3.42</v>
      </c>
      <c r="I52" s="353">
        <v>46220</v>
      </c>
      <c r="J52" s="353">
        <f t="shared" si="19"/>
        <v>3.42</v>
      </c>
      <c r="K52" s="353">
        <v>52.2</v>
      </c>
      <c r="L52" s="353">
        <v>0.0105</v>
      </c>
      <c r="M52" s="353">
        <f t="shared" si="20"/>
        <v>0.42917502019545833</v>
      </c>
      <c r="N52" s="353">
        <v>3700</v>
      </c>
      <c r="O52" s="353">
        <f t="shared" si="21"/>
        <v>0.42917502019545833</v>
      </c>
      <c r="P52" s="304">
        <f t="shared" si="22"/>
        <v>238.25133326944118</v>
      </c>
      <c r="Q52" s="304">
        <f t="shared" si="23"/>
        <v>120.30211377390913</v>
      </c>
      <c r="R52" s="304">
        <f t="shared" si="24"/>
        <v>133.66901530434347</v>
      </c>
      <c r="S52" s="304">
        <f t="shared" si="25"/>
        <v>0.026704899473464876</v>
      </c>
      <c r="T52" s="304">
        <f t="shared" si="26"/>
        <v>0.026704899473464876</v>
      </c>
    </row>
    <row r="53" spans="1:20" ht="12.75">
      <c r="A53" s="123" t="s">
        <v>398</v>
      </c>
      <c r="B53" s="542">
        <v>25</v>
      </c>
      <c r="C53" s="364" t="s">
        <v>580</v>
      </c>
      <c r="D53" s="361">
        <v>104.15</v>
      </c>
      <c r="E53" s="372" t="s">
        <v>581</v>
      </c>
      <c r="F53" s="382" t="str">
        <f t="shared" si="18"/>
        <v>hoch</v>
      </c>
      <c r="G53" s="304">
        <v>2.714</v>
      </c>
      <c r="H53" s="353">
        <v>6.4</v>
      </c>
      <c r="I53" s="353">
        <v>43500</v>
      </c>
      <c r="J53" s="353">
        <f t="shared" si="19"/>
        <v>6.4</v>
      </c>
      <c r="K53" s="353">
        <v>310</v>
      </c>
      <c r="L53" s="353">
        <v>0.00275</v>
      </c>
      <c r="M53" s="353">
        <f t="shared" si="20"/>
        <v>0.11240298147976288</v>
      </c>
      <c r="N53" s="353">
        <v>4800</v>
      </c>
      <c r="O53" s="353">
        <f t="shared" si="21"/>
        <v>0.11240298147976288</v>
      </c>
      <c r="P53" s="304">
        <f t="shared" si="22"/>
        <v>255.46570473568963</v>
      </c>
      <c r="Q53" s="304">
        <f t="shared" si="23"/>
        <v>105.74580607963847</v>
      </c>
      <c r="R53" s="304">
        <f t="shared" si="24"/>
        <v>117.49534008848718</v>
      </c>
      <c r="S53" s="304">
        <f t="shared" si="25"/>
        <v>0.028812497162626693</v>
      </c>
      <c r="T53" s="304">
        <f t="shared" si="26"/>
        <v>0.028812497162626693</v>
      </c>
    </row>
    <row r="54" spans="1:20" ht="12.75">
      <c r="A54" s="123" t="s">
        <v>399</v>
      </c>
      <c r="B54" s="542">
        <v>25</v>
      </c>
      <c r="C54" s="364" t="s">
        <v>575</v>
      </c>
      <c r="D54" s="361">
        <v>120.2</v>
      </c>
      <c r="E54" s="372" t="s">
        <v>583</v>
      </c>
      <c r="F54" s="382" t="str">
        <f t="shared" si="18"/>
        <v>hoch</v>
      </c>
      <c r="G54" s="304">
        <v>2.912</v>
      </c>
      <c r="H54" s="353">
        <v>4.5</v>
      </c>
      <c r="I54" s="353">
        <v>45100</v>
      </c>
      <c r="J54" s="353">
        <f t="shared" si="19"/>
        <v>4.5</v>
      </c>
      <c r="K54" s="353">
        <v>61.3</v>
      </c>
      <c r="L54" s="353">
        <v>0.0115</v>
      </c>
      <c r="M54" s="353">
        <f t="shared" si="20"/>
        <v>0.47004883164264477</v>
      </c>
      <c r="N54" s="353">
        <v>3200</v>
      </c>
      <c r="O54" s="353">
        <f t="shared" si="21"/>
        <v>0.47004883164264477</v>
      </c>
      <c r="P54" s="304">
        <f t="shared" si="22"/>
        <v>238.25133326944118</v>
      </c>
      <c r="Q54" s="304">
        <f t="shared" si="23"/>
        <v>120.30211377390913</v>
      </c>
      <c r="R54" s="304">
        <f t="shared" si="24"/>
        <v>133.66901530434347</v>
      </c>
      <c r="S54" s="304">
        <f t="shared" si="25"/>
        <v>0.026704899473464876</v>
      </c>
      <c r="T54" s="304">
        <f t="shared" si="26"/>
        <v>0.026704899473464876</v>
      </c>
    </row>
    <row r="55" spans="1:20" ht="12.75">
      <c r="A55" s="123" t="s">
        <v>371</v>
      </c>
      <c r="B55" s="542">
        <v>25</v>
      </c>
      <c r="C55" s="364" t="s">
        <v>650</v>
      </c>
      <c r="D55" s="361">
        <v>118.18</v>
      </c>
      <c r="E55" s="372" t="s">
        <v>909</v>
      </c>
      <c r="F55" s="382" t="str">
        <f t="shared" si="18"/>
        <v>mittel</v>
      </c>
      <c r="G55" s="304">
        <v>2.998</v>
      </c>
      <c r="H55" s="353">
        <v>1.47</v>
      </c>
      <c r="I55" s="353">
        <v>39630</v>
      </c>
      <c r="J55" s="353">
        <f t="shared" si="19"/>
        <v>1.47</v>
      </c>
      <c r="K55" s="353">
        <v>109</v>
      </c>
      <c r="L55" s="353">
        <v>0.000201</v>
      </c>
      <c r="M55" s="353">
        <f t="shared" si="20"/>
        <v>0.008215636100884488</v>
      </c>
      <c r="N55" s="353">
        <v>3000</v>
      </c>
      <c r="O55" s="353">
        <f t="shared" si="21"/>
        <v>0.008215636100884488</v>
      </c>
      <c r="P55" s="304">
        <f t="shared" si="22"/>
        <v>240.21474117583392</v>
      </c>
      <c r="Q55" s="304">
        <f t="shared" si="23"/>
        <v>118.48137184040108</v>
      </c>
      <c r="R55" s="304">
        <f t="shared" si="24"/>
        <v>131.64596871155675</v>
      </c>
      <c r="S55" s="304">
        <f t="shared" si="25"/>
        <v>0.026945857140620984</v>
      </c>
      <c r="T55" s="304">
        <f t="shared" si="26"/>
        <v>0.026945857140620984</v>
      </c>
    </row>
    <row r="56" spans="1:20" ht="13.5" thickBot="1">
      <c r="A56" s="123"/>
      <c r="B56" s="543"/>
      <c r="C56" s="364"/>
      <c r="D56" s="361"/>
      <c r="E56" s="372"/>
      <c r="F56" s="372"/>
      <c r="G56" s="304"/>
      <c r="H56" s="353"/>
      <c r="I56" s="353"/>
      <c r="J56" s="353"/>
      <c r="K56" s="353"/>
      <c r="L56" s="353"/>
      <c r="M56" s="353"/>
      <c r="N56" s="353"/>
      <c r="O56" s="353"/>
      <c r="P56" s="304"/>
      <c r="Q56" s="304"/>
      <c r="R56" s="304"/>
      <c r="S56" s="304"/>
      <c r="T56" s="304"/>
    </row>
    <row r="57" spans="1:20" ht="12.75">
      <c r="A57" s="157" t="s">
        <v>115</v>
      </c>
      <c r="B57" s="541"/>
      <c r="C57" s="363"/>
      <c r="D57" s="373"/>
      <c r="E57" s="374"/>
      <c r="F57" s="374"/>
      <c r="G57" s="383"/>
      <c r="H57" s="354"/>
      <c r="I57" s="354"/>
      <c r="J57" s="354"/>
      <c r="K57" s="354"/>
      <c r="L57" s="354"/>
      <c r="M57" s="354"/>
      <c r="N57" s="354"/>
      <c r="O57" s="354"/>
      <c r="P57" s="383"/>
      <c r="Q57" s="383"/>
      <c r="R57" s="383"/>
      <c r="S57" s="383"/>
      <c r="T57" s="383"/>
    </row>
    <row r="58" spans="1:20" ht="12.75">
      <c r="A58" s="123" t="s">
        <v>115</v>
      </c>
      <c r="B58" s="546">
        <v>25</v>
      </c>
      <c r="C58" s="364" t="s">
        <v>584</v>
      </c>
      <c r="D58" s="361">
        <v>88.15</v>
      </c>
      <c r="E58" s="372" t="s">
        <v>585</v>
      </c>
      <c r="F58" s="382" t="str">
        <f>IF($M58&lt;0.00001226,"gering",IF($M58&lt;0.04087,"mittel","hoch"))</f>
        <v>mittel</v>
      </c>
      <c r="G58" s="304">
        <v>0.721</v>
      </c>
      <c r="H58" s="353">
        <v>250</v>
      </c>
      <c r="I58" s="353">
        <v>27940</v>
      </c>
      <c r="J58" s="353">
        <f>$H58/(EXP(-$I58/8.314*(1/298.15-1/(B58+273.15))))</f>
        <v>250</v>
      </c>
      <c r="K58" s="353">
        <v>51000</v>
      </c>
      <c r="L58" s="353">
        <v>0.000587</v>
      </c>
      <c r="M58" s="353">
        <f>$L58/(0.000082057834*298.15)</f>
        <v>0.023992927319498477</v>
      </c>
      <c r="N58" s="353">
        <v>7700</v>
      </c>
      <c r="O58" s="353">
        <f>$M58*EXP($N58*(1/298.15-1/(273.15+$B58)))</f>
        <v>0.023992927319498477</v>
      </c>
      <c r="P58" s="304">
        <f>0.001*($B58+273.15)^1.75*SQRT((28.97+$D58)/(28.97*$D58))/(1*(20.1^(1/3)+($Q58)^(1/3))^2)/10000*86400*365</f>
        <v>277.3845518746175</v>
      </c>
      <c r="Q58" s="304">
        <f>0.9*$R58</f>
        <v>91.00854864081823</v>
      </c>
      <c r="R58" s="304">
        <f>(13.26*0.00001/(0.8904^1.14*$S58/(0.0001*86400*365)))^(1/0.589)</f>
        <v>101.12060960090915</v>
      </c>
      <c r="S58" s="304">
        <f>0.00000000000003595*298.15/(0.001*$D58^0.53)*3600*24*365</f>
        <v>0.03147548911103362</v>
      </c>
      <c r="T58" s="304">
        <f>0.00000000000003595*($B58+273.15)/(0.001*$D58^0.53)*3600*24*365</f>
        <v>0.03147548911103362</v>
      </c>
    </row>
    <row r="59" spans="1:20" ht="13.5" thickBot="1">
      <c r="A59" s="126"/>
      <c r="B59" s="544"/>
      <c r="C59" s="365"/>
      <c r="D59" s="375"/>
      <c r="E59" s="376"/>
      <c r="F59" s="376"/>
      <c r="G59" s="307"/>
      <c r="H59" s="355"/>
      <c r="I59" s="355"/>
      <c r="J59" s="355"/>
      <c r="K59" s="355"/>
      <c r="L59" s="355"/>
      <c r="M59" s="355"/>
      <c r="N59" s="355"/>
      <c r="O59" s="355"/>
      <c r="P59" s="307"/>
      <c r="Q59" s="307"/>
      <c r="R59" s="307"/>
      <c r="S59" s="307"/>
      <c r="T59" s="307"/>
    </row>
    <row r="60" spans="1:20" ht="12.75">
      <c r="A60" s="131" t="s">
        <v>116</v>
      </c>
      <c r="B60" s="539"/>
      <c r="C60" s="318"/>
      <c r="D60" s="361"/>
      <c r="E60" s="372"/>
      <c r="F60" s="372"/>
      <c r="G60" s="304"/>
      <c r="H60" s="353"/>
      <c r="I60" s="353"/>
      <c r="J60" s="353"/>
      <c r="K60" s="353"/>
      <c r="L60" s="353"/>
      <c r="M60" s="353"/>
      <c r="N60" s="353"/>
      <c r="O60" s="353"/>
      <c r="P60" s="304"/>
      <c r="Q60" s="304"/>
      <c r="R60" s="304"/>
      <c r="S60" s="304"/>
      <c r="T60" s="304"/>
    </row>
    <row r="61" spans="1:20" ht="12.75">
      <c r="A61" s="131" t="s">
        <v>352</v>
      </c>
      <c r="B61" s="539"/>
      <c r="C61" s="318"/>
      <c r="D61" s="361"/>
      <c r="E61" s="372"/>
      <c r="F61" s="372"/>
      <c r="G61" s="304"/>
      <c r="H61" s="353"/>
      <c r="I61" s="353"/>
      <c r="J61" s="353"/>
      <c r="K61" s="353"/>
      <c r="L61" s="353"/>
      <c r="M61" s="353"/>
      <c r="N61" s="353"/>
      <c r="O61" s="353"/>
      <c r="P61" s="304"/>
      <c r="Q61" s="304"/>
      <c r="R61" s="304"/>
      <c r="S61" s="304"/>
      <c r="T61" s="304"/>
    </row>
    <row r="62" spans="1:20" ht="12.75">
      <c r="A62" s="123" t="s">
        <v>586</v>
      </c>
      <c r="B62" s="546">
        <v>25</v>
      </c>
      <c r="C62" s="364" t="s">
        <v>589</v>
      </c>
      <c r="D62" s="361">
        <v>165.83</v>
      </c>
      <c r="E62" s="372" t="s">
        <v>590</v>
      </c>
      <c r="F62" s="382" t="str">
        <f>IF($M62&lt;0.00001226,"gering",IF($M62&lt;0.04087,"mittel","hoch"))</f>
        <v>hoch</v>
      </c>
      <c r="G62" s="304">
        <v>2.029</v>
      </c>
      <c r="H62" s="353">
        <v>18.5</v>
      </c>
      <c r="I62" s="353">
        <v>34680</v>
      </c>
      <c r="J62" s="353">
        <f>$H62/(EXP(-$I62/8.314*(1/298.15-1/(B62+273.15))))</f>
        <v>18.5</v>
      </c>
      <c r="K62" s="353">
        <v>206</v>
      </c>
      <c r="L62" s="353">
        <v>0.0177</v>
      </c>
      <c r="M62" s="353">
        <f>$L62/(0.000082057834*298.15)</f>
        <v>0.7234664626152012</v>
      </c>
      <c r="N62" s="353">
        <v>5000</v>
      </c>
      <c r="O62" s="353">
        <f>$M62*EXP($N62*(1/298.15-1/(273.15+$B62)))</f>
        <v>0.7234664626152012</v>
      </c>
      <c r="P62" s="304">
        <f>0.001*($B62+273.15)^1.75*SQRT((28.97+$D62)/(28.97*$D62))/(1*(20.1^(1/3)+($Q62)^(1/3))^2)/10000*86400*365</f>
        <v>204.23449687416402</v>
      </c>
      <c r="Q62" s="304">
        <f>0.9*$R62</f>
        <v>160.70607707102414</v>
      </c>
      <c r="R62" s="304">
        <f>(13.26*0.00001/(0.8904^1.14*$S62/(0.0001*86400*365)))^(1/0.589)</f>
        <v>178.56230785669348</v>
      </c>
      <c r="S62" s="304">
        <f>0.00000000000003595*298.15/(0.001*$D62^0.53)*3600*24*365</f>
        <v>0.022517432624562527</v>
      </c>
      <c r="T62" s="304">
        <f>0.00000000000003595*($B62+273.15)/(0.001*$D62^0.53)*3600*24*365</f>
        <v>0.022517432624562527</v>
      </c>
    </row>
    <row r="63" spans="1:20" ht="12.75">
      <c r="A63" s="123" t="s">
        <v>587</v>
      </c>
      <c r="B63" s="546">
        <v>25</v>
      </c>
      <c r="C63" s="364" t="s">
        <v>591</v>
      </c>
      <c r="D63" s="361">
        <v>131.39</v>
      </c>
      <c r="E63" s="372" t="s">
        <v>592</v>
      </c>
      <c r="F63" s="382" t="str">
        <f>IF($M63&lt;0.00001226,"gering",IF($M63&lt;0.04087,"mittel","hoch"))</f>
        <v>hoch</v>
      </c>
      <c r="G63" s="304">
        <v>1.831</v>
      </c>
      <c r="H63" s="353">
        <v>69</v>
      </c>
      <c r="I63" s="353">
        <v>32130</v>
      </c>
      <c r="J63" s="353">
        <f>$H63/(EXP(-$I63/8.314*(1/298.15-1/(B63+273.15))))</f>
        <v>69</v>
      </c>
      <c r="K63" s="353">
        <v>1280</v>
      </c>
      <c r="L63" s="353">
        <v>0.00985</v>
      </c>
      <c r="M63" s="353">
        <f>$L63/(0.000082057834*298.15)</f>
        <v>0.40260704275478704</v>
      </c>
      <c r="N63" s="353">
        <v>4800</v>
      </c>
      <c r="O63" s="353">
        <f>$M63*EXP($N63*(1/298.15-1/(273.15+$B63)))</f>
        <v>0.40260704275478704</v>
      </c>
      <c r="P63" s="304">
        <f>0.001*($B63+273.15)^1.75*SQRT((28.97+$D63)/(28.97*$D63))/(1*(20.1^(1/3)+($Q63)^(1/3))^2)/10000*86400*365</f>
        <v>228.23852597605418</v>
      </c>
      <c r="Q63" s="304">
        <f>0.9*$R63</f>
        <v>130.3343094817767</v>
      </c>
      <c r="R63" s="304">
        <f>(13.26*0.00001/(0.8904^1.14*$S63/(0.0001*86400*365)))^(1/0.589)</f>
        <v>144.81589942419632</v>
      </c>
      <c r="S63" s="304">
        <f>0.00000000000003595*298.15/(0.001*$D63^0.53)*3600*24*365</f>
        <v>0.025474301796860034</v>
      </c>
      <c r="T63" s="304">
        <f>0.00000000000003595*($B63+273.15)/(0.001*$D63^0.53)*3600*24*365</f>
        <v>0.025474301796860034</v>
      </c>
    </row>
    <row r="64" spans="1:20" ht="12.75">
      <c r="A64" s="123" t="s">
        <v>117</v>
      </c>
      <c r="B64" s="546">
        <v>25</v>
      </c>
      <c r="C64" s="364" t="s">
        <v>593</v>
      </c>
      <c r="D64" s="361">
        <v>96.94</v>
      </c>
      <c r="E64" s="372" t="s">
        <v>594</v>
      </c>
      <c r="F64" s="382" t="str">
        <f>IF($M64&lt;0.00001226,"gering",IF($M64&lt;0.04087,"mittel","hoch"))</f>
        <v>hoch</v>
      </c>
      <c r="G64" s="304">
        <v>1.641</v>
      </c>
      <c r="H64" s="353">
        <v>201</v>
      </c>
      <c r="I64" s="353">
        <v>31000</v>
      </c>
      <c r="J64" s="353">
        <f>$H64/(EXP(-$I64/8.314*(1/298.15-1/(B64+273.15))))</f>
        <v>201</v>
      </c>
      <c r="K64" s="353">
        <v>6410</v>
      </c>
      <c r="L64" s="353">
        <v>0.00408</v>
      </c>
      <c r="M64" s="353">
        <f>$L64/(0.000082057834*298.15)</f>
        <v>0.16676515070452094</v>
      </c>
      <c r="N64" s="353">
        <v>4000</v>
      </c>
      <c r="O64" s="353">
        <f>$M64*EXP($N64*(1/298.15-1/(273.15+$B64)))</f>
        <v>0.16676515070452094</v>
      </c>
      <c r="P64" s="304">
        <f>0.001*($B64+273.15)^1.75*SQRT((28.97+$D64)/(28.97*$D64))/(1*(20.1^(1/3)+($Q64)^(1/3))^2)/10000*86400*365</f>
        <v>264.6302820367462</v>
      </c>
      <c r="Q64" s="304">
        <f>0.9*$R64</f>
        <v>99.13518212332269</v>
      </c>
      <c r="R64" s="304">
        <f>(13.26*0.00001/(0.8904^1.14*$S64/(0.0001*86400*365)))^(1/0.589)</f>
        <v>110.15020235924743</v>
      </c>
      <c r="S64" s="304">
        <f>0.00000000000003595*298.15/(0.001*$D64^0.53)*3600*24*365</f>
        <v>0.02992910412406537</v>
      </c>
      <c r="T64" s="304">
        <f>0.00000000000003595*($B64+273.15)/(0.001*$D64^0.53)*3600*24*365</f>
        <v>0.02992910412406537</v>
      </c>
    </row>
    <row r="65" spans="1:20" ht="12.75">
      <c r="A65" s="123" t="s">
        <v>588</v>
      </c>
      <c r="B65" s="546">
        <v>25</v>
      </c>
      <c r="C65" s="364" t="s">
        <v>595</v>
      </c>
      <c r="D65" s="361">
        <v>62.5</v>
      </c>
      <c r="E65" s="372" t="s">
        <v>596</v>
      </c>
      <c r="F65" s="382" t="str">
        <f>IF($M65&lt;0.00001226,"gering",IF($M65&lt;0.04087,"mittel","hoch"))</f>
        <v>hoch</v>
      </c>
      <c r="G65" s="304">
        <v>1.376</v>
      </c>
      <c r="H65" s="353">
        <v>2980</v>
      </c>
      <c r="I65" s="353">
        <v>21000</v>
      </c>
      <c r="J65" s="353">
        <f>$H65/(EXP(-$I65/8.314*(1/298.15-1/(B65+273.15))))</f>
        <v>2980</v>
      </c>
      <c r="K65" s="353">
        <v>8800</v>
      </c>
      <c r="L65" s="353">
        <v>0.0278</v>
      </c>
      <c r="M65" s="353">
        <f>$L65/(0.000082057834*298.15)</f>
        <v>1.1362919582317847</v>
      </c>
      <c r="N65" s="353">
        <v>3000</v>
      </c>
      <c r="O65" s="353">
        <f>$M65*EXP($N65*(1/298.15-1/(273.15+$B65)))</f>
        <v>1.1362919582317847</v>
      </c>
      <c r="P65" s="304">
        <f>0.001*($B65+273.15)^1.75*SQRT((28.97+$D65)/(28.97*$D65))/(1*(20.1^(1/3)+($Q65)^(1/3))^2)/10000*86400*365</f>
        <v>330.2330637636513</v>
      </c>
      <c r="Q65" s="304">
        <f>0.9*$R65</f>
        <v>66.78815930339405</v>
      </c>
      <c r="R65" s="304">
        <f>(13.26*0.00001/(0.8904^1.14*$S65/(0.0001*86400*365)))^(1/0.589)</f>
        <v>74.20906589266005</v>
      </c>
      <c r="S65" s="304">
        <f>0.00000000000003595*298.15/(0.001*$D65^0.53)*3600*24*365</f>
        <v>0.03776799293160479</v>
      </c>
      <c r="T65" s="304">
        <f>0.00000000000003595*($B65+273.15)/(0.001*$D65^0.53)*3600*24*365</f>
        <v>0.03776799293160479</v>
      </c>
    </row>
    <row r="66" spans="1:20" ht="12.75">
      <c r="A66" s="123"/>
      <c r="B66" s="543"/>
      <c r="C66" s="364"/>
      <c r="D66" s="361"/>
      <c r="E66" s="372"/>
      <c r="F66" s="372"/>
      <c r="G66" s="304"/>
      <c r="H66" s="353"/>
      <c r="I66" s="353"/>
      <c r="J66" s="353"/>
      <c r="K66" s="353"/>
      <c r="L66" s="353"/>
      <c r="M66" s="353"/>
      <c r="N66" s="353"/>
      <c r="O66" s="353"/>
      <c r="P66" s="304"/>
      <c r="Q66" s="304"/>
      <c r="R66" s="304"/>
      <c r="S66" s="304"/>
      <c r="T66" s="304"/>
    </row>
    <row r="67" spans="1:20" ht="12.75">
      <c r="A67" s="131" t="s">
        <v>353</v>
      </c>
      <c r="B67" s="539"/>
      <c r="C67" s="318"/>
      <c r="D67" s="361"/>
      <c r="E67" s="372"/>
      <c r="F67" s="372"/>
      <c r="G67" s="304"/>
      <c r="H67" s="353"/>
      <c r="I67" s="353"/>
      <c r="J67" s="353"/>
      <c r="K67" s="353"/>
      <c r="L67" s="353"/>
      <c r="M67" s="353"/>
      <c r="N67" s="353"/>
      <c r="O67" s="353"/>
      <c r="P67" s="304"/>
      <c r="Q67" s="304"/>
      <c r="R67" s="304"/>
      <c r="S67" s="304"/>
      <c r="T67" s="304"/>
    </row>
    <row r="68" spans="1:20" ht="12.75">
      <c r="A68" s="123" t="s">
        <v>126</v>
      </c>
      <c r="B68" s="546">
        <v>25</v>
      </c>
      <c r="C68" s="364" t="s">
        <v>597</v>
      </c>
      <c r="D68" s="361">
        <v>153.82</v>
      </c>
      <c r="E68" s="372" t="s">
        <v>598</v>
      </c>
      <c r="F68" s="382" t="str">
        <f aca="true" t="shared" si="27" ref="F68:F80">IF($M68&lt;0.00001226,"gering",IF($M68&lt;0.04087,"mittel","hoch"))</f>
        <v>hoch</v>
      </c>
      <c r="G68" s="304">
        <v>1.687</v>
      </c>
      <c r="H68" s="353">
        <v>115</v>
      </c>
      <c r="I68" s="353">
        <v>29820</v>
      </c>
      <c r="J68" s="353">
        <f aca="true" t="shared" si="28" ref="J68:J80">$H68/(EXP(-$I68/8.314*(1/298.15-1/(B68+273.15))))</f>
        <v>115</v>
      </c>
      <c r="K68" s="353">
        <v>793</v>
      </c>
      <c r="L68" s="353">
        <v>0.0276</v>
      </c>
      <c r="M68" s="353">
        <f aca="true" t="shared" si="29" ref="M68:M80">$L68/(0.000082057834*298.15)</f>
        <v>1.1281171959423475</v>
      </c>
      <c r="N68" s="353">
        <v>4400</v>
      </c>
      <c r="O68" s="353">
        <f aca="true" t="shared" si="30" ref="O68:O80">$M68*EXP($N68*(1/298.15-1/(273.15+$B68)))</f>
        <v>1.1281171959423475</v>
      </c>
      <c r="P68" s="304">
        <f aca="true" t="shared" si="31" ref="P68:P80">0.001*($B68+273.15)^1.75*SQRT((28.97+$D68)/(28.97*$D68))/(1*(20.1^(1/3)+($Q68)^(1/3))^2)/10000*86400*365</f>
        <v>211.66233994160768</v>
      </c>
      <c r="Q68" s="304">
        <f aca="true" t="shared" si="32" ref="Q68:Q80">0.9*$R68</f>
        <v>150.19399832754837</v>
      </c>
      <c r="R68" s="304">
        <f aca="true" t="shared" si="33" ref="R68:R80">(13.26*0.00001/(0.8904^1.14*$S68/(0.0001*86400*365)))^(1/0.589)</f>
        <v>166.88222036394262</v>
      </c>
      <c r="S68" s="304">
        <f aca="true" t="shared" si="34" ref="S68:S80">0.00000000000003595*298.15/(0.001*$D68^0.53)*3600*24*365</f>
        <v>0.023432764486055028</v>
      </c>
      <c r="T68" s="304">
        <f aca="true" t="shared" si="35" ref="T68:T80">0.00000000000003595*($B68+273.15)/(0.001*$D68^0.53)*3600*24*365</f>
        <v>0.023432764486055028</v>
      </c>
    </row>
    <row r="69" spans="1:20" ht="12.75">
      <c r="A69" s="123" t="s">
        <v>127</v>
      </c>
      <c r="B69" s="546">
        <v>25</v>
      </c>
      <c r="C69" s="364" t="s">
        <v>599</v>
      </c>
      <c r="D69" s="361">
        <v>119.38</v>
      </c>
      <c r="E69" s="372" t="s">
        <v>600</v>
      </c>
      <c r="F69" s="382" t="str">
        <f t="shared" si="27"/>
        <v>hoch</v>
      </c>
      <c r="G69" s="304">
        <v>1.545</v>
      </c>
      <c r="H69" s="353">
        <v>197</v>
      </c>
      <c r="I69" s="353">
        <v>29240</v>
      </c>
      <c r="J69" s="353">
        <f t="shared" si="28"/>
        <v>197</v>
      </c>
      <c r="K69" s="353">
        <v>7950</v>
      </c>
      <c r="L69" s="353">
        <v>0.00367</v>
      </c>
      <c r="M69" s="353">
        <f t="shared" si="29"/>
        <v>0.15000688801117448</v>
      </c>
      <c r="N69" s="353">
        <v>4800</v>
      </c>
      <c r="O69" s="353">
        <f t="shared" si="30"/>
        <v>0.15000688801117448</v>
      </c>
      <c r="P69" s="304">
        <f t="shared" si="31"/>
        <v>239.04210386695704</v>
      </c>
      <c r="Q69" s="304">
        <f t="shared" si="32"/>
        <v>119.56337319843834</v>
      </c>
      <c r="R69" s="304">
        <f t="shared" si="33"/>
        <v>132.84819244270926</v>
      </c>
      <c r="S69" s="304">
        <f t="shared" si="34"/>
        <v>0.026801961611895277</v>
      </c>
      <c r="T69" s="304">
        <f t="shared" si="35"/>
        <v>0.026801961611895277</v>
      </c>
    </row>
    <row r="70" spans="1:20" ht="12.75">
      <c r="A70" s="123" t="s">
        <v>357</v>
      </c>
      <c r="B70" s="546">
        <v>25</v>
      </c>
      <c r="C70" s="364" t="s">
        <v>601</v>
      </c>
      <c r="D70" s="361">
        <v>84.93</v>
      </c>
      <c r="E70" s="372" t="s">
        <v>602</v>
      </c>
      <c r="F70" s="382" t="str">
        <f t="shared" si="27"/>
        <v>hoch</v>
      </c>
      <c r="G70" s="304">
        <v>1.376</v>
      </c>
      <c r="H70" s="353">
        <v>435</v>
      </c>
      <c r="I70" s="353">
        <v>28060</v>
      </c>
      <c r="J70" s="353">
        <f t="shared" si="28"/>
        <v>435</v>
      </c>
      <c r="K70" s="353">
        <v>13000</v>
      </c>
      <c r="L70" s="353">
        <v>0.00325</v>
      </c>
      <c r="M70" s="353">
        <f t="shared" si="29"/>
        <v>0.13283988720335613</v>
      </c>
      <c r="N70" s="353">
        <v>4500</v>
      </c>
      <c r="O70" s="353">
        <f t="shared" si="30"/>
        <v>0.13283988720335613</v>
      </c>
      <c r="P70" s="304">
        <f t="shared" si="31"/>
        <v>282.57837428495316</v>
      </c>
      <c r="Q70" s="304">
        <f t="shared" si="32"/>
        <v>88.01158840080285</v>
      </c>
      <c r="R70" s="304">
        <f t="shared" si="33"/>
        <v>97.79065377866984</v>
      </c>
      <c r="S70" s="304">
        <f t="shared" si="34"/>
        <v>0.03210243088054729</v>
      </c>
      <c r="T70" s="304">
        <f t="shared" si="35"/>
        <v>0.03210243088054729</v>
      </c>
    </row>
    <row r="71" spans="1:20" ht="12.75">
      <c r="A71" s="122" t="s">
        <v>603</v>
      </c>
      <c r="B71" s="546">
        <v>25</v>
      </c>
      <c r="C71" s="364" t="s">
        <v>1023</v>
      </c>
      <c r="D71" s="361">
        <v>50.49</v>
      </c>
      <c r="E71" s="372" t="s">
        <v>604</v>
      </c>
      <c r="F71" s="382" t="str">
        <f t="shared" si="27"/>
        <v>hoch</v>
      </c>
      <c r="G71" s="304">
        <v>1.155</v>
      </c>
      <c r="H71" s="353">
        <v>4300</v>
      </c>
      <c r="I71" s="353">
        <v>21535</v>
      </c>
      <c r="J71" s="353">
        <f t="shared" si="28"/>
        <v>4300</v>
      </c>
      <c r="K71" s="353">
        <v>5320</v>
      </c>
      <c r="L71" s="353">
        <v>0.00882</v>
      </c>
      <c r="M71" s="353">
        <f t="shared" si="29"/>
        <v>0.36050701696418497</v>
      </c>
      <c r="N71" s="353">
        <v>2900</v>
      </c>
      <c r="O71" s="353">
        <f t="shared" si="30"/>
        <v>0.36050701696418497</v>
      </c>
      <c r="P71" s="304">
        <f t="shared" si="31"/>
        <v>369.360840686495</v>
      </c>
      <c r="Q71" s="304">
        <f t="shared" si="32"/>
        <v>55.119849948122415</v>
      </c>
      <c r="R71" s="304">
        <f t="shared" si="33"/>
        <v>61.24427772013601</v>
      </c>
      <c r="S71" s="304">
        <f t="shared" si="34"/>
        <v>0.042290368446398656</v>
      </c>
      <c r="T71" s="304">
        <f t="shared" si="35"/>
        <v>0.042290368446398656</v>
      </c>
    </row>
    <row r="72" spans="1:20" ht="12.75">
      <c r="A72" s="122" t="s">
        <v>926</v>
      </c>
      <c r="B72" s="546">
        <v>25</v>
      </c>
      <c r="C72" s="364" t="s">
        <v>605</v>
      </c>
      <c r="D72" s="361">
        <v>167.85</v>
      </c>
      <c r="E72" s="372" t="s">
        <v>606</v>
      </c>
      <c r="F72" s="382" t="str">
        <f t="shared" si="27"/>
        <v>mittel</v>
      </c>
      <c r="G72" s="304">
        <v>2.029</v>
      </c>
      <c r="H72" s="353">
        <v>13.3</v>
      </c>
      <c r="I72" s="353">
        <v>37640</v>
      </c>
      <c r="J72" s="353">
        <f t="shared" si="28"/>
        <v>13.3</v>
      </c>
      <c r="K72" s="353">
        <v>2830</v>
      </c>
      <c r="L72" s="353">
        <v>0.000367</v>
      </c>
      <c r="M72" s="353">
        <f t="shared" si="29"/>
        <v>0.015000688801117447</v>
      </c>
      <c r="N72" s="353">
        <v>4200</v>
      </c>
      <c r="O72" s="353">
        <f t="shared" si="30"/>
        <v>0.015000688801117447</v>
      </c>
      <c r="P72" s="304">
        <f t="shared" si="31"/>
        <v>203.06546869074757</v>
      </c>
      <c r="Q72" s="304">
        <f t="shared" si="32"/>
        <v>162.46650106789718</v>
      </c>
      <c r="R72" s="304">
        <f t="shared" si="33"/>
        <v>180.51833451988574</v>
      </c>
      <c r="S72" s="304">
        <f t="shared" si="34"/>
        <v>0.022373400772428442</v>
      </c>
      <c r="T72" s="304">
        <f t="shared" si="35"/>
        <v>0.022373400772428442</v>
      </c>
    </row>
    <row r="73" spans="1:20" ht="12.75">
      <c r="A73" s="122" t="s">
        <v>928</v>
      </c>
      <c r="B73" s="546">
        <v>25</v>
      </c>
      <c r="C73" s="364" t="s">
        <v>605</v>
      </c>
      <c r="D73" s="361">
        <v>167.85</v>
      </c>
      <c r="E73" s="372" t="s">
        <v>927</v>
      </c>
      <c r="F73" s="382" t="str">
        <f t="shared" si="27"/>
        <v>hoch</v>
      </c>
      <c r="G73" s="304">
        <v>1.985</v>
      </c>
      <c r="H73" s="353">
        <v>12</v>
      </c>
      <c r="I73" s="353">
        <v>42170</v>
      </c>
      <c r="J73" s="353">
        <f t="shared" si="28"/>
        <v>12</v>
      </c>
      <c r="K73" s="353">
        <v>1070</v>
      </c>
      <c r="L73" s="353">
        <v>0.00242</v>
      </c>
      <c r="M73" s="353">
        <f t="shared" si="29"/>
        <v>0.09891462370219134</v>
      </c>
      <c r="N73" s="353">
        <v>4600</v>
      </c>
      <c r="O73" s="353">
        <f t="shared" si="30"/>
        <v>0.09891462370219134</v>
      </c>
      <c r="P73" s="304">
        <f t="shared" si="31"/>
        <v>203.06546869074757</v>
      </c>
      <c r="Q73" s="304">
        <f t="shared" si="32"/>
        <v>162.46650106789718</v>
      </c>
      <c r="R73" s="304">
        <f t="shared" si="33"/>
        <v>180.51833451988574</v>
      </c>
      <c r="S73" s="304">
        <f t="shared" si="34"/>
        <v>0.022373400772428442</v>
      </c>
      <c r="T73" s="304">
        <f t="shared" si="35"/>
        <v>0.022373400772428442</v>
      </c>
    </row>
    <row r="74" spans="1:20" ht="12.75">
      <c r="A74" s="123" t="s">
        <v>970</v>
      </c>
      <c r="B74" s="546">
        <v>25</v>
      </c>
      <c r="C74" s="364" t="s">
        <v>607</v>
      </c>
      <c r="D74" s="361">
        <v>133.41</v>
      </c>
      <c r="E74" s="372" t="s">
        <v>997</v>
      </c>
      <c r="F74" s="382" t="str">
        <f t="shared" si="27"/>
        <v>hoch</v>
      </c>
      <c r="G74" s="304">
        <v>1.687</v>
      </c>
      <c r="H74" s="353">
        <v>124</v>
      </c>
      <c r="I74" s="353">
        <v>33313</v>
      </c>
      <c r="J74" s="353">
        <f t="shared" si="28"/>
        <v>124</v>
      </c>
      <c r="K74" s="353">
        <v>1290</v>
      </c>
      <c r="L74" s="353">
        <v>0.0172</v>
      </c>
      <c r="M74" s="353">
        <f t="shared" si="29"/>
        <v>0.7030295568916078</v>
      </c>
      <c r="N74" s="353">
        <v>3400</v>
      </c>
      <c r="O74" s="353">
        <f t="shared" si="30"/>
        <v>0.7030295568916078</v>
      </c>
      <c r="P74" s="304">
        <f t="shared" si="31"/>
        <v>226.57120892584274</v>
      </c>
      <c r="Q74" s="304">
        <f t="shared" si="32"/>
        <v>132.13598144087192</v>
      </c>
      <c r="R74" s="304">
        <f t="shared" si="33"/>
        <v>146.81775715652435</v>
      </c>
      <c r="S74" s="304">
        <f t="shared" si="34"/>
        <v>0.025269140591345336</v>
      </c>
      <c r="T74" s="304">
        <f t="shared" si="35"/>
        <v>0.025269140591345336</v>
      </c>
    </row>
    <row r="75" spans="1:20" ht="12.75">
      <c r="A75" s="123" t="s">
        <v>397</v>
      </c>
      <c r="B75" s="546">
        <v>25</v>
      </c>
      <c r="C75" s="364" t="s">
        <v>608</v>
      </c>
      <c r="D75" s="361">
        <v>98.96</v>
      </c>
      <c r="E75" s="372" t="s">
        <v>609</v>
      </c>
      <c r="F75" s="382" t="str">
        <f t="shared" si="27"/>
        <v>hoch</v>
      </c>
      <c r="G75" s="304">
        <v>1.641</v>
      </c>
      <c r="H75" s="353">
        <v>78.9</v>
      </c>
      <c r="I75" s="353">
        <v>33910</v>
      </c>
      <c r="J75" s="353">
        <f t="shared" si="28"/>
        <v>78.9</v>
      </c>
      <c r="K75" s="353">
        <v>8600</v>
      </c>
      <c r="L75" s="353">
        <v>0.00118</v>
      </c>
      <c r="M75" s="353">
        <f t="shared" si="29"/>
        <v>0.04823109750768008</v>
      </c>
      <c r="N75" s="353">
        <v>3900</v>
      </c>
      <c r="O75" s="353">
        <f t="shared" si="30"/>
        <v>0.04823109750768008</v>
      </c>
      <c r="P75" s="304">
        <f t="shared" si="31"/>
        <v>261.95627542153215</v>
      </c>
      <c r="Q75" s="304">
        <f t="shared" si="32"/>
        <v>100.99207426827286</v>
      </c>
      <c r="R75" s="304">
        <f t="shared" si="33"/>
        <v>112.2134158536365</v>
      </c>
      <c r="S75" s="304">
        <f t="shared" si="34"/>
        <v>0.029603746826032576</v>
      </c>
      <c r="T75" s="304">
        <f t="shared" si="35"/>
        <v>0.029603746826032576</v>
      </c>
    </row>
    <row r="76" spans="1:20" ht="12.75">
      <c r="A76" s="123" t="s">
        <v>358</v>
      </c>
      <c r="B76" s="546">
        <v>25</v>
      </c>
      <c r="C76" s="364" t="s">
        <v>610</v>
      </c>
      <c r="D76" s="361">
        <v>64.52</v>
      </c>
      <c r="E76" s="372" t="s">
        <v>611</v>
      </c>
      <c r="F76" s="382" t="str">
        <f t="shared" si="27"/>
        <v>hoch</v>
      </c>
      <c r="G76" s="304">
        <v>1.376</v>
      </c>
      <c r="H76" s="353">
        <v>1010</v>
      </c>
      <c r="I76" s="353">
        <v>24830</v>
      </c>
      <c r="J76" s="353">
        <f t="shared" si="28"/>
        <v>1010</v>
      </c>
      <c r="K76" s="353">
        <v>6710</v>
      </c>
      <c r="L76" s="353">
        <v>0.0111</v>
      </c>
      <c r="M76" s="353">
        <f t="shared" si="29"/>
        <v>0.4536993070637702</v>
      </c>
      <c r="N76" s="353">
        <v>2900</v>
      </c>
      <c r="O76" s="353">
        <f t="shared" si="30"/>
        <v>0.4536993070637702</v>
      </c>
      <c r="P76" s="304">
        <f t="shared" si="31"/>
        <v>324.851777590143</v>
      </c>
      <c r="Q76" s="304">
        <f t="shared" si="32"/>
        <v>68.72741924833232</v>
      </c>
      <c r="R76" s="304">
        <f t="shared" si="33"/>
        <v>76.3637991648137</v>
      </c>
      <c r="S76" s="304">
        <f t="shared" si="34"/>
        <v>0.03713661413819114</v>
      </c>
      <c r="T76" s="304">
        <f t="shared" si="35"/>
        <v>0.03713661413819114</v>
      </c>
    </row>
    <row r="77" spans="1:20" ht="12.75">
      <c r="A77" s="123" t="s">
        <v>612</v>
      </c>
      <c r="B77" s="546">
        <v>25</v>
      </c>
      <c r="C77" s="364" t="s">
        <v>620</v>
      </c>
      <c r="D77" s="361">
        <v>137.37</v>
      </c>
      <c r="E77" s="372" t="s">
        <v>613</v>
      </c>
      <c r="F77" s="382" t="str">
        <f t="shared" si="27"/>
        <v>hoch</v>
      </c>
      <c r="G77" s="304">
        <v>1.687</v>
      </c>
      <c r="H77" s="353">
        <v>803</v>
      </c>
      <c r="I77" s="353">
        <v>25209</v>
      </c>
      <c r="J77" s="353">
        <f t="shared" si="28"/>
        <v>803</v>
      </c>
      <c r="K77" s="353">
        <v>1100</v>
      </c>
      <c r="L77" s="353">
        <v>0.097</v>
      </c>
      <c r="M77" s="353">
        <f t="shared" si="29"/>
        <v>3.9647597103770913</v>
      </c>
      <c r="N77" s="353">
        <v>3100</v>
      </c>
      <c r="O77" s="353">
        <f t="shared" si="30"/>
        <v>3.9647597103770913</v>
      </c>
      <c r="P77" s="304">
        <f t="shared" si="31"/>
        <v>223.41330223644428</v>
      </c>
      <c r="Q77" s="304">
        <f t="shared" si="32"/>
        <v>135.66008993951095</v>
      </c>
      <c r="R77" s="304">
        <f t="shared" si="33"/>
        <v>150.73343326612328</v>
      </c>
      <c r="S77" s="304">
        <f t="shared" si="34"/>
        <v>0.02488041438394975</v>
      </c>
      <c r="T77" s="304">
        <f t="shared" si="35"/>
        <v>0.02488041438394975</v>
      </c>
    </row>
    <row r="78" spans="1:20" ht="12.75">
      <c r="A78" s="123" t="s">
        <v>614</v>
      </c>
      <c r="B78" s="546">
        <v>25</v>
      </c>
      <c r="C78" s="364" t="s">
        <v>621</v>
      </c>
      <c r="D78" s="361">
        <v>120.91</v>
      </c>
      <c r="E78" s="372" t="s">
        <v>617</v>
      </c>
      <c r="F78" s="382" t="str">
        <f t="shared" si="27"/>
        <v>hoch</v>
      </c>
      <c r="G78" s="304">
        <v>1.687</v>
      </c>
      <c r="H78" s="353">
        <v>4850</v>
      </c>
      <c r="I78" s="353">
        <v>28000</v>
      </c>
      <c r="J78" s="353">
        <f t="shared" si="28"/>
        <v>4850</v>
      </c>
      <c r="K78" s="353">
        <v>280</v>
      </c>
      <c r="L78" s="353">
        <v>0.343</v>
      </c>
      <c r="M78" s="353">
        <f t="shared" si="29"/>
        <v>14.019717326384972</v>
      </c>
      <c r="N78" s="353">
        <v>3000</v>
      </c>
      <c r="O78" s="353">
        <f t="shared" si="30"/>
        <v>14.019717326384972</v>
      </c>
      <c r="P78" s="304">
        <f t="shared" si="31"/>
        <v>237.57341107426936</v>
      </c>
      <c r="Q78" s="304">
        <f t="shared" si="32"/>
        <v>120.94134721952807</v>
      </c>
      <c r="R78" s="304">
        <f t="shared" si="33"/>
        <v>134.37927468836452</v>
      </c>
      <c r="S78" s="304">
        <f t="shared" si="34"/>
        <v>0.02662167260281781</v>
      </c>
      <c r="T78" s="304">
        <f t="shared" si="35"/>
        <v>0.02662167260281781</v>
      </c>
    </row>
    <row r="79" spans="1:20" ht="12.75">
      <c r="A79" s="123" t="s">
        <v>616</v>
      </c>
      <c r="B79" s="546">
        <v>25</v>
      </c>
      <c r="C79" s="364" t="s">
        <v>622</v>
      </c>
      <c r="D79" s="361">
        <v>208.28</v>
      </c>
      <c r="E79" s="372" t="s">
        <v>618</v>
      </c>
      <c r="F79" s="382" t="str">
        <f t="shared" si="27"/>
        <v>mittel</v>
      </c>
      <c r="G79" s="304">
        <v>1.545</v>
      </c>
      <c r="H79" s="353">
        <v>15.6</v>
      </c>
      <c r="I79" s="353">
        <v>30000</v>
      </c>
      <c r="J79" s="353">
        <f t="shared" si="28"/>
        <v>15.6</v>
      </c>
      <c r="K79" s="353">
        <v>2700</v>
      </c>
      <c r="L79" s="353">
        <v>0.000783</v>
      </c>
      <c r="M79" s="353">
        <f t="shared" si="29"/>
        <v>0.03200419436314703</v>
      </c>
      <c r="N79" s="353">
        <v>5500</v>
      </c>
      <c r="O79" s="353">
        <f t="shared" si="30"/>
        <v>0.03200419436314703</v>
      </c>
      <c r="P79" s="304">
        <f t="shared" si="31"/>
        <v>183.4062639449695</v>
      </c>
      <c r="Q79" s="304">
        <f t="shared" si="32"/>
        <v>197.28838412433527</v>
      </c>
      <c r="R79" s="304">
        <f t="shared" si="33"/>
        <v>219.20931569370583</v>
      </c>
      <c r="S79" s="304">
        <f t="shared" si="34"/>
        <v>0.019955246818286577</v>
      </c>
      <c r="T79" s="304">
        <f t="shared" si="35"/>
        <v>0.019955246818286577</v>
      </c>
    </row>
    <row r="80" spans="1:20" ht="12.75">
      <c r="A80" s="123" t="s">
        <v>615</v>
      </c>
      <c r="B80" s="546">
        <v>25</v>
      </c>
      <c r="C80" s="364" t="s">
        <v>623</v>
      </c>
      <c r="D80" s="361">
        <v>163.83</v>
      </c>
      <c r="E80" s="372" t="s">
        <v>619</v>
      </c>
      <c r="F80" s="382" t="str">
        <f t="shared" si="27"/>
        <v>hoch</v>
      </c>
      <c r="G80" s="304">
        <v>1.545</v>
      </c>
      <c r="H80" s="353">
        <v>57.4</v>
      </c>
      <c r="I80" s="353">
        <v>30000</v>
      </c>
      <c r="J80" s="353">
        <f t="shared" si="28"/>
        <v>57.4</v>
      </c>
      <c r="K80" s="353">
        <v>3030</v>
      </c>
      <c r="L80" s="353">
        <v>0.00212</v>
      </c>
      <c r="M80" s="353">
        <f t="shared" si="29"/>
        <v>0.08665248026803539</v>
      </c>
      <c r="N80" s="353">
        <v>5200</v>
      </c>
      <c r="O80" s="353">
        <f t="shared" si="30"/>
        <v>0.08665248026803539</v>
      </c>
      <c r="P80" s="304">
        <f t="shared" si="31"/>
        <v>205.41352126929357</v>
      </c>
      <c r="Q80" s="304">
        <f t="shared" si="32"/>
        <v>158.9609655190986</v>
      </c>
      <c r="R80" s="304">
        <f t="shared" si="33"/>
        <v>176.62329502122066</v>
      </c>
      <c r="S80" s="304">
        <f t="shared" si="34"/>
        <v>0.022662707669277363</v>
      </c>
      <c r="T80" s="304">
        <f t="shared" si="35"/>
        <v>0.022662707669277363</v>
      </c>
    </row>
    <row r="81" spans="1:20" ht="13.5" thickBot="1">
      <c r="A81" s="126"/>
      <c r="B81" s="544"/>
      <c r="C81" s="365"/>
      <c r="D81" s="375"/>
      <c r="E81" s="376"/>
      <c r="F81" s="376"/>
      <c r="G81" s="307"/>
      <c r="H81" s="355"/>
      <c r="I81" s="355"/>
      <c r="J81" s="355"/>
      <c r="K81" s="355"/>
      <c r="L81" s="355"/>
      <c r="M81" s="355"/>
      <c r="N81" s="355"/>
      <c r="O81" s="355"/>
      <c r="P81" s="307"/>
      <c r="Q81" s="307"/>
      <c r="R81" s="307"/>
      <c r="S81" s="307"/>
      <c r="T81" s="307"/>
    </row>
    <row r="82" spans="1:23" ht="12.75">
      <c r="A82" s="131" t="s">
        <v>118</v>
      </c>
      <c r="B82" s="539"/>
      <c r="C82" s="318"/>
      <c r="D82" s="361"/>
      <c r="E82" s="372"/>
      <c r="F82" s="372"/>
      <c r="G82" s="304"/>
      <c r="H82" s="353"/>
      <c r="I82" s="353"/>
      <c r="J82" s="353"/>
      <c r="K82" s="353"/>
      <c r="L82" s="353"/>
      <c r="M82" s="353"/>
      <c r="N82" s="353"/>
      <c r="O82" s="353"/>
      <c r="P82" s="304"/>
      <c r="Q82" s="304"/>
      <c r="R82" s="304"/>
      <c r="S82" s="304"/>
      <c r="T82" s="304"/>
      <c r="V82" s="189"/>
      <c r="W82" s="189"/>
    </row>
    <row r="83" spans="1:23" s="189" customFormat="1" ht="12.75">
      <c r="A83" s="156" t="s">
        <v>655</v>
      </c>
      <c r="B83" s="546">
        <v>25</v>
      </c>
      <c r="C83" s="362" t="s">
        <v>911</v>
      </c>
      <c r="D83" s="377">
        <v>116.16</v>
      </c>
      <c r="E83" s="378" t="s">
        <v>910</v>
      </c>
      <c r="F83" s="382" t="str">
        <f aca="true" t="shared" si="36" ref="F83:F101">IF($M83&lt;0.00001226,"gering",IF($M83&lt;0.04087,"mittel","hoch"))</f>
        <v>mittel</v>
      </c>
      <c r="G83" s="384">
        <v>2.998</v>
      </c>
      <c r="H83" s="356">
        <v>1.1</v>
      </c>
      <c r="I83" s="356">
        <v>70000</v>
      </c>
      <c r="J83" s="353">
        <f aca="true" t="shared" si="37" ref="J83:J101">$H83/(EXP(-$I83/8.314*(1/298.15-1/(B83+273.15))))</f>
        <v>1.1</v>
      </c>
      <c r="K83" s="356">
        <v>67.47</v>
      </c>
      <c r="L83" s="356">
        <v>0.0004028</v>
      </c>
      <c r="M83" s="353">
        <f aca="true" t="shared" si="38" ref="M83:M101">$L83/(0.000082057834*298.15)</f>
        <v>0.016463971250926725</v>
      </c>
      <c r="N83" s="353">
        <v>3500</v>
      </c>
      <c r="O83" s="353">
        <f aca="true" t="shared" si="39" ref="O83:O101">$M83*EXP($N83*(1/298.15-1/(273.15+$B83)))</f>
        <v>0.016463971250926725</v>
      </c>
      <c r="P83" s="304">
        <f aca="true" t="shared" si="40" ref="P83:P101">0.001*($B83+273.15)^1.75*SQRT((28.97+$D83)/(28.97*$D83))/(1*(20.1^(1/3)+($Q83)^(1/3))^2)/10000*86400*365</f>
        <v>242.23129956237352</v>
      </c>
      <c r="Q83" s="304">
        <f aca="true" t="shared" si="41" ref="Q83:Q101">0.9*$R83</f>
        <v>116.65750967719457</v>
      </c>
      <c r="R83" s="304">
        <f aca="true" t="shared" si="42" ref="R83:R101">(13.26*0.00001/(0.8904^1.14*$S83/(0.0001*86400*365)))^(1/0.589)</f>
        <v>129.61945519688285</v>
      </c>
      <c r="S83" s="304">
        <f aca="true" t="shared" si="43" ref="S83:S101">0.00000000000003595*298.15/(0.001*$D83^0.53)*3600*24*365</f>
        <v>0.027193199919701688</v>
      </c>
      <c r="T83" s="304">
        <f aca="true" t="shared" si="44" ref="T83:T101">0.00000000000003595*($B83+273.15)/(0.001*$D83^0.53)*3600*24*365</f>
        <v>0.027193199919701688</v>
      </c>
      <c r="V83"/>
      <c r="W83"/>
    </row>
    <row r="84" spans="1:20" ht="12.75">
      <c r="A84" s="123" t="s">
        <v>263</v>
      </c>
      <c r="B84" s="546">
        <v>25</v>
      </c>
      <c r="C84" s="364" t="s">
        <v>624</v>
      </c>
      <c r="D84" s="361">
        <v>128.18</v>
      </c>
      <c r="E84" s="372" t="s">
        <v>625</v>
      </c>
      <c r="F84" s="382" t="str">
        <f t="shared" si="36"/>
        <v>mittel</v>
      </c>
      <c r="G84" s="304">
        <v>3.264</v>
      </c>
      <c r="H84" s="353">
        <v>0.085</v>
      </c>
      <c r="I84" s="353">
        <v>70850</v>
      </c>
      <c r="J84" s="353">
        <f t="shared" si="37"/>
        <v>0.085</v>
      </c>
      <c r="K84" s="353">
        <v>31</v>
      </c>
      <c r="L84" s="353">
        <v>0.00044</v>
      </c>
      <c r="M84" s="353">
        <f t="shared" si="38"/>
        <v>0.017984477036762064</v>
      </c>
      <c r="N84" s="353">
        <v>3600</v>
      </c>
      <c r="O84" s="353">
        <f t="shared" si="39"/>
        <v>0.017984477036762064</v>
      </c>
      <c r="P84" s="304">
        <f t="shared" si="40"/>
        <v>230.97145350898862</v>
      </c>
      <c r="Q84" s="304">
        <f t="shared" si="41"/>
        <v>127.46552477330829</v>
      </c>
      <c r="R84" s="304">
        <f t="shared" si="42"/>
        <v>141.62836085923144</v>
      </c>
      <c r="S84" s="304">
        <f t="shared" si="43"/>
        <v>0.025810449836435788</v>
      </c>
      <c r="T84" s="304">
        <f t="shared" si="44"/>
        <v>0.025810449836435788</v>
      </c>
    </row>
    <row r="85" spans="1:20" ht="12.75">
      <c r="A85" s="123" t="s">
        <v>907</v>
      </c>
      <c r="B85" s="546">
        <v>25</v>
      </c>
      <c r="C85" s="364" t="s">
        <v>914</v>
      </c>
      <c r="D85" s="361">
        <v>142.2</v>
      </c>
      <c r="E85" s="372" t="s">
        <v>915</v>
      </c>
      <c r="F85" s="382" t="str">
        <f t="shared" si="36"/>
        <v>mittel</v>
      </c>
      <c r="G85" s="304">
        <v>3.483</v>
      </c>
      <c r="H85" s="353">
        <v>0.0822</v>
      </c>
      <c r="I85" s="353">
        <v>60700</v>
      </c>
      <c r="J85" s="353">
        <f t="shared" si="37"/>
        <v>0.0822</v>
      </c>
      <c r="K85" s="353">
        <v>25.8</v>
      </c>
      <c r="L85" s="353">
        <v>0.000514</v>
      </c>
      <c r="M85" s="353">
        <f t="shared" si="38"/>
        <v>0.021009139083853864</v>
      </c>
      <c r="N85" s="353">
        <v>3600</v>
      </c>
      <c r="O85" s="353">
        <f t="shared" si="39"/>
        <v>0.021009139083853864</v>
      </c>
      <c r="P85" s="304">
        <f t="shared" si="40"/>
        <v>219.74681426148942</v>
      </c>
      <c r="Q85" s="304">
        <f t="shared" si="41"/>
        <v>139.94470822446416</v>
      </c>
      <c r="R85" s="304">
        <f t="shared" si="42"/>
        <v>155.49412024940463</v>
      </c>
      <c r="S85" s="304">
        <f t="shared" si="43"/>
        <v>0.02442887848570843</v>
      </c>
      <c r="T85" s="304">
        <f t="shared" si="44"/>
        <v>0.02442887848570843</v>
      </c>
    </row>
    <row r="86" spans="1:20" ht="12.75">
      <c r="A86" s="123" t="s">
        <v>908</v>
      </c>
      <c r="B86" s="546">
        <v>25</v>
      </c>
      <c r="C86" s="364" t="s">
        <v>912</v>
      </c>
      <c r="D86" s="361">
        <v>156.23</v>
      </c>
      <c r="E86" s="372" t="s">
        <v>913</v>
      </c>
      <c r="F86" s="382" t="str">
        <f t="shared" si="36"/>
        <v>mittel</v>
      </c>
      <c r="G86" s="304">
        <v>3.701</v>
      </c>
      <c r="H86" s="353">
        <v>0.0214</v>
      </c>
      <c r="I86" s="353"/>
      <c r="J86" s="353">
        <f t="shared" si="37"/>
        <v>0.0214</v>
      </c>
      <c r="K86" s="353">
        <v>11.4</v>
      </c>
      <c r="L86" s="353">
        <v>0.0001604</v>
      </c>
      <c r="M86" s="353">
        <f t="shared" si="38"/>
        <v>0.006556159356128715</v>
      </c>
      <c r="N86" s="353"/>
      <c r="O86" s="353">
        <f t="shared" si="39"/>
        <v>0.006556159356128715</v>
      </c>
      <c r="P86" s="304">
        <f t="shared" si="40"/>
        <v>210.1020786102763</v>
      </c>
      <c r="Q86" s="304">
        <f t="shared" si="41"/>
        <v>152.30981679031922</v>
      </c>
      <c r="R86" s="304">
        <f t="shared" si="42"/>
        <v>169.23312976702135</v>
      </c>
      <c r="S86" s="304">
        <f t="shared" si="43"/>
        <v>0.023240483874760243</v>
      </c>
      <c r="T86" s="304">
        <f t="shared" si="44"/>
        <v>0.023240483874760243</v>
      </c>
    </row>
    <row r="87" spans="1:20" ht="12.75">
      <c r="A87" s="123" t="s">
        <v>265</v>
      </c>
      <c r="B87" s="546">
        <v>25</v>
      </c>
      <c r="C87" s="364" t="s">
        <v>626</v>
      </c>
      <c r="D87" s="361">
        <v>152.2</v>
      </c>
      <c r="E87" s="372" t="s">
        <v>627</v>
      </c>
      <c r="F87" s="382" t="str">
        <f t="shared" si="36"/>
        <v>mittel</v>
      </c>
      <c r="G87" s="304">
        <v>3.787</v>
      </c>
      <c r="H87" s="353">
        <v>0.0311</v>
      </c>
      <c r="I87" s="353"/>
      <c r="J87" s="353">
        <f t="shared" si="37"/>
        <v>0.0311</v>
      </c>
      <c r="K87" s="353">
        <v>16.1</v>
      </c>
      <c r="L87" s="353">
        <v>0.000125</v>
      </c>
      <c r="M87" s="353">
        <f t="shared" si="38"/>
        <v>0.005109226430898313</v>
      </c>
      <c r="N87" s="353"/>
      <c r="O87" s="353">
        <f t="shared" si="39"/>
        <v>0.005109226430898313</v>
      </c>
      <c r="P87" s="304">
        <f t="shared" si="40"/>
        <v>212.73234906233233</v>
      </c>
      <c r="Q87" s="304">
        <f t="shared" si="41"/>
        <v>148.76988263110647</v>
      </c>
      <c r="R87" s="304">
        <f t="shared" si="42"/>
        <v>165.2998695901183</v>
      </c>
      <c r="S87" s="304">
        <f t="shared" si="43"/>
        <v>0.02356462590180971</v>
      </c>
      <c r="T87" s="304">
        <f t="shared" si="44"/>
        <v>0.02356462590180971</v>
      </c>
    </row>
    <row r="88" spans="1:20" ht="12.75">
      <c r="A88" s="123" t="s">
        <v>264</v>
      </c>
      <c r="B88" s="546">
        <v>25</v>
      </c>
      <c r="C88" s="364" t="s">
        <v>628</v>
      </c>
      <c r="D88" s="361">
        <v>154.21</v>
      </c>
      <c r="E88" s="372" t="s">
        <v>629</v>
      </c>
      <c r="F88" s="382" t="str">
        <f t="shared" si="36"/>
        <v>mittel</v>
      </c>
      <c r="G88" s="304">
        <v>3.787</v>
      </c>
      <c r="H88" s="353">
        <v>0.0102</v>
      </c>
      <c r="I88" s="353"/>
      <c r="J88" s="353">
        <f t="shared" si="37"/>
        <v>0.0102</v>
      </c>
      <c r="K88" s="353">
        <v>3.9</v>
      </c>
      <c r="L88" s="353">
        <v>0.000182</v>
      </c>
      <c r="M88" s="353">
        <f t="shared" si="38"/>
        <v>0.007439033683387944</v>
      </c>
      <c r="N88" s="353"/>
      <c r="O88" s="353">
        <f t="shared" si="39"/>
        <v>0.007439033683387944</v>
      </c>
      <c r="P88" s="304">
        <f t="shared" si="40"/>
        <v>211.40731994782178</v>
      </c>
      <c r="Q88" s="304">
        <f t="shared" si="41"/>
        <v>150.53661607203037</v>
      </c>
      <c r="R88" s="304">
        <f t="shared" si="42"/>
        <v>167.2629067467004</v>
      </c>
      <c r="S88" s="304">
        <f t="shared" si="43"/>
        <v>0.023401336987128738</v>
      </c>
      <c r="T88" s="304">
        <f t="shared" si="44"/>
        <v>0.023401336987128738</v>
      </c>
    </row>
    <row r="89" spans="1:20" ht="12.75">
      <c r="A89" s="123" t="s">
        <v>120</v>
      </c>
      <c r="B89" s="546">
        <v>25</v>
      </c>
      <c r="C89" s="364" t="s">
        <v>631</v>
      </c>
      <c r="D89" s="361">
        <v>166.22</v>
      </c>
      <c r="E89" s="372" t="s">
        <v>632</v>
      </c>
      <c r="F89" s="382" t="str">
        <f t="shared" si="36"/>
        <v>mittel</v>
      </c>
      <c r="G89" s="304">
        <v>4.053</v>
      </c>
      <c r="H89" s="353">
        <v>0.00464</v>
      </c>
      <c r="I89" s="353"/>
      <c r="J89" s="353">
        <f t="shared" si="37"/>
        <v>0.00464</v>
      </c>
      <c r="K89" s="353">
        <v>1.89</v>
      </c>
      <c r="L89" s="353">
        <v>9.62E-05</v>
      </c>
      <c r="M89" s="353">
        <f t="shared" si="38"/>
        <v>0.003932060661219342</v>
      </c>
      <c r="N89" s="353"/>
      <c r="O89" s="353">
        <f t="shared" si="39"/>
        <v>0.003932060661219342</v>
      </c>
      <c r="P89" s="304">
        <f t="shared" si="40"/>
        <v>204.00710907699008</v>
      </c>
      <c r="Q89" s="304">
        <f t="shared" si="41"/>
        <v>161.0461274525733</v>
      </c>
      <c r="R89" s="304">
        <f t="shared" si="42"/>
        <v>178.94014161397033</v>
      </c>
      <c r="S89" s="304">
        <f t="shared" si="43"/>
        <v>0.02248941600451194</v>
      </c>
      <c r="T89" s="304">
        <f t="shared" si="44"/>
        <v>0.02248941600451194</v>
      </c>
    </row>
    <row r="90" spans="1:20" ht="12.75">
      <c r="A90" s="123" t="s">
        <v>121</v>
      </c>
      <c r="B90" s="546">
        <v>25</v>
      </c>
      <c r="C90" s="364" t="s">
        <v>630</v>
      </c>
      <c r="D90" s="361">
        <v>178.24</v>
      </c>
      <c r="E90" s="372" t="s">
        <v>633</v>
      </c>
      <c r="F90" s="382" t="str">
        <f t="shared" si="36"/>
        <v>mittel</v>
      </c>
      <c r="G90" s="304">
        <v>4.319</v>
      </c>
      <c r="H90" s="353">
        <v>0.000656</v>
      </c>
      <c r="I90" s="353"/>
      <c r="J90" s="353">
        <f t="shared" si="37"/>
        <v>0.000656</v>
      </c>
      <c r="K90" s="353">
        <v>1.15</v>
      </c>
      <c r="L90" s="353">
        <v>4.23E-05</v>
      </c>
      <c r="M90" s="353">
        <f t="shared" si="38"/>
        <v>0.001728962224215989</v>
      </c>
      <c r="N90" s="353"/>
      <c r="O90" s="353">
        <f t="shared" si="39"/>
        <v>0.001728962224215989</v>
      </c>
      <c r="P90" s="304">
        <f t="shared" si="40"/>
        <v>197.37410689951017</v>
      </c>
      <c r="Q90" s="304">
        <f t="shared" si="41"/>
        <v>171.4884377973513</v>
      </c>
      <c r="R90" s="304">
        <f t="shared" si="42"/>
        <v>190.54270866372366</v>
      </c>
      <c r="S90" s="304">
        <f t="shared" si="43"/>
        <v>0.021672428227996535</v>
      </c>
      <c r="T90" s="304">
        <f t="shared" si="44"/>
        <v>0.021672428227996535</v>
      </c>
    </row>
    <row r="91" spans="1:20" ht="12.75">
      <c r="A91" s="123" t="s">
        <v>119</v>
      </c>
      <c r="B91" s="546">
        <v>25</v>
      </c>
      <c r="C91" s="364" t="s">
        <v>630</v>
      </c>
      <c r="D91" s="361">
        <v>178.24</v>
      </c>
      <c r="E91" s="372" t="s">
        <v>634</v>
      </c>
      <c r="F91" s="382" t="str">
        <f t="shared" si="36"/>
        <v>mittel</v>
      </c>
      <c r="G91" s="304">
        <v>4.31</v>
      </c>
      <c r="H91" s="353">
        <v>0.000494</v>
      </c>
      <c r="I91" s="353"/>
      <c r="J91" s="353">
        <f t="shared" si="37"/>
        <v>0.000494</v>
      </c>
      <c r="K91" s="353">
        <v>0.0434</v>
      </c>
      <c r="L91" s="353">
        <v>5.56E-05</v>
      </c>
      <c r="M91" s="353">
        <f t="shared" si="38"/>
        <v>0.00227258391646357</v>
      </c>
      <c r="N91" s="353"/>
      <c r="O91" s="353">
        <f t="shared" si="39"/>
        <v>0.00227258391646357</v>
      </c>
      <c r="P91" s="304">
        <f t="shared" si="40"/>
        <v>197.37410689951017</v>
      </c>
      <c r="Q91" s="304">
        <f t="shared" si="41"/>
        <v>171.4884377973513</v>
      </c>
      <c r="R91" s="304">
        <f t="shared" si="42"/>
        <v>190.54270866372366</v>
      </c>
      <c r="S91" s="304">
        <f t="shared" si="43"/>
        <v>0.021672428227996535</v>
      </c>
      <c r="T91" s="304">
        <f t="shared" si="44"/>
        <v>0.021672428227996535</v>
      </c>
    </row>
    <row r="92" spans="1:20" ht="12.75">
      <c r="A92" s="123" t="s">
        <v>374</v>
      </c>
      <c r="B92" s="546">
        <v>25</v>
      </c>
      <c r="C92" s="364" t="s">
        <v>635</v>
      </c>
      <c r="D92" s="361">
        <v>202.26</v>
      </c>
      <c r="E92" s="372" t="s">
        <v>636</v>
      </c>
      <c r="F92" s="382" t="str">
        <f t="shared" si="36"/>
        <v>mittel</v>
      </c>
      <c r="G92" s="304">
        <v>4.85</v>
      </c>
      <c r="H92" s="353">
        <v>6.08E-05</v>
      </c>
      <c r="I92" s="353"/>
      <c r="J92" s="353">
        <f t="shared" si="37"/>
        <v>6.08E-05</v>
      </c>
      <c r="K92" s="353">
        <v>0.26</v>
      </c>
      <c r="L92" s="353">
        <v>8.86E-06</v>
      </c>
      <c r="M92" s="353">
        <f t="shared" si="38"/>
        <v>0.0003621419694220724</v>
      </c>
      <c r="N92" s="353"/>
      <c r="O92" s="353">
        <f t="shared" si="39"/>
        <v>0.0003621419694220724</v>
      </c>
      <c r="P92" s="304">
        <f t="shared" si="40"/>
        <v>185.95296072516655</v>
      </c>
      <c r="Q92" s="304">
        <f t="shared" si="41"/>
        <v>192.14976995410524</v>
      </c>
      <c r="R92" s="304">
        <f t="shared" si="42"/>
        <v>213.49974439345027</v>
      </c>
      <c r="S92" s="304">
        <f t="shared" si="43"/>
        <v>0.020267865509284597</v>
      </c>
      <c r="T92" s="304">
        <f t="shared" si="44"/>
        <v>0.020267865509284597</v>
      </c>
    </row>
    <row r="93" spans="1:20" ht="12.75">
      <c r="A93" s="123" t="s">
        <v>122</v>
      </c>
      <c r="B93" s="546">
        <v>25</v>
      </c>
      <c r="C93" s="364" t="s">
        <v>635</v>
      </c>
      <c r="D93" s="361">
        <v>202.26</v>
      </c>
      <c r="E93" s="372" t="s">
        <v>637</v>
      </c>
      <c r="F93" s="382" t="str">
        <f t="shared" si="36"/>
        <v>mittel</v>
      </c>
      <c r="G93" s="304">
        <v>4.841</v>
      </c>
      <c r="H93" s="353">
        <v>7.97E-05</v>
      </c>
      <c r="I93" s="353"/>
      <c r="J93" s="353">
        <f t="shared" si="37"/>
        <v>7.97E-05</v>
      </c>
      <c r="K93" s="353">
        <v>0.135</v>
      </c>
      <c r="L93" s="353">
        <v>1.19E-05</v>
      </c>
      <c r="M93" s="353">
        <f t="shared" si="38"/>
        <v>0.0004863983562215194</v>
      </c>
      <c r="N93" s="353"/>
      <c r="O93" s="353">
        <f t="shared" si="39"/>
        <v>0.0004863983562215194</v>
      </c>
      <c r="P93" s="304">
        <f t="shared" si="40"/>
        <v>185.95296072516655</v>
      </c>
      <c r="Q93" s="304">
        <f t="shared" si="41"/>
        <v>192.14976995410524</v>
      </c>
      <c r="R93" s="304">
        <f t="shared" si="42"/>
        <v>213.49974439345027</v>
      </c>
      <c r="S93" s="304">
        <f t="shared" si="43"/>
        <v>0.020267865509284597</v>
      </c>
      <c r="T93" s="304">
        <f t="shared" si="44"/>
        <v>0.020267865509284597</v>
      </c>
    </row>
    <row r="94" spans="1:20" ht="12.75">
      <c r="A94" s="123" t="s">
        <v>638</v>
      </c>
      <c r="B94" s="546">
        <v>25</v>
      </c>
      <c r="C94" s="364" t="s">
        <v>639</v>
      </c>
      <c r="D94" s="361">
        <v>228.3</v>
      </c>
      <c r="E94" s="372" t="s">
        <v>651</v>
      </c>
      <c r="F94" s="382" t="str">
        <f t="shared" si="36"/>
        <v>mittel</v>
      </c>
      <c r="G94" s="304">
        <v>5.364</v>
      </c>
      <c r="H94" s="353">
        <v>8.05E-07</v>
      </c>
      <c r="I94" s="353"/>
      <c r="J94" s="353">
        <f t="shared" si="37"/>
        <v>8.05E-07</v>
      </c>
      <c r="K94" s="353">
        <v>0.0094</v>
      </c>
      <c r="L94" s="353">
        <v>1.2E-05</v>
      </c>
      <c r="M94" s="353">
        <f t="shared" si="38"/>
        <v>0.0004904857373662381</v>
      </c>
      <c r="N94" s="353"/>
      <c r="O94" s="353">
        <f t="shared" si="39"/>
        <v>0.0004904857373662381</v>
      </c>
      <c r="P94" s="304">
        <f t="shared" si="40"/>
        <v>175.67377952128098</v>
      </c>
      <c r="Q94" s="304">
        <f t="shared" si="41"/>
        <v>214.27290465269152</v>
      </c>
      <c r="R94" s="304">
        <f t="shared" si="42"/>
        <v>238.08100516965723</v>
      </c>
      <c r="S94" s="304">
        <f t="shared" si="43"/>
        <v>0.01900781438037731</v>
      </c>
      <c r="T94" s="304">
        <f t="shared" si="44"/>
        <v>0.01900781438037731</v>
      </c>
    </row>
    <row r="95" spans="1:20" ht="12.75">
      <c r="A95" s="123" t="s">
        <v>123</v>
      </c>
      <c r="B95" s="546">
        <v>25</v>
      </c>
      <c r="C95" s="364" t="s">
        <v>639</v>
      </c>
      <c r="D95" s="361">
        <v>228.3</v>
      </c>
      <c r="E95" s="372" t="s">
        <v>640</v>
      </c>
      <c r="F95" s="382" t="str">
        <f t="shared" si="36"/>
        <v>mittel</v>
      </c>
      <c r="G95" s="304">
        <v>5.373</v>
      </c>
      <c r="H95" s="353">
        <v>1.26E-06</v>
      </c>
      <c r="I95" s="353"/>
      <c r="J95" s="353">
        <f t="shared" si="37"/>
        <v>1.26E-06</v>
      </c>
      <c r="K95" s="353">
        <v>0.00345</v>
      </c>
      <c r="L95" s="353">
        <v>5.23E-06</v>
      </c>
      <c r="M95" s="353">
        <f t="shared" si="38"/>
        <v>0.00021377003386878542</v>
      </c>
      <c r="N95" s="353"/>
      <c r="O95" s="353">
        <f t="shared" si="39"/>
        <v>0.00021377003386878542</v>
      </c>
      <c r="P95" s="304">
        <f t="shared" si="40"/>
        <v>175.67377952128098</v>
      </c>
      <c r="Q95" s="304">
        <f t="shared" si="41"/>
        <v>214.27290465269152</v>
      </c>
      <c r="R95" s="304">
        <f t="shared" si="42"/>
        <v>238.08100516965723</v>
      </c>
      <c r="S95" s="304">
        <f t="shared" si="43"/>
        <v>0.01900781438037731</v>
      </c>
      <c r="T95" s="304">
        <f t="shared" si="44"/>
        <v>0.01900781438037731</v>
      </c>
    </row>
    <row r="96" spans="1:20" ht="12.75">
      <c r="A96" s="123" t="s">
        <v>124</v>
      </c>
      <c r="B96" s="546">
        <v>25</v>
      </c>
      <c r="C96" s="364" t="s">
        <v>641</v>
      </c>
      <c r="D96" s="361">
        <v>252.32</v>
      </c>
      <c r="E96" s="372" t="s">
        <v>642</v>
      </c>
      <c r="F96" s="382" t="str">
        <f t="shared" si="36"/>
        <v>mittel</v>
      </c>
      <c r="G96" s="304">
        <v>5.896</v>
      </c>
      <c r="H96" s="353">
        <v>1.73E-07</v>
      </c>
      <c r="I96" s="353"/>
      <c r="J96" s="353">
        <f t="shared" si="37"/>
        <v>1.73E-07</v>
      </c>
      <c r="K96" s="353">
        <v>0.00162</v>
      </c>
      <c r="L96" s="353">
        <v>4.57E-07</v>
      </c>
      <c r="M96" s="353">
        <f t="shared" si="38"/>
        <v>1.867933183136423E-05</v>
      </c>
      <c r="N96" s="353"/>
      <c r="O96" s="353">
        <f t="shared" si="39"/>
        <v>1.867933183136423E-05</v>
      </c>
      <c r="P96" s="304">
        <f t="shared" si="40"/>
        <v>167.63426688867142</v>
      </c>
      <c r="Q96" s="304">
        <f t="shared" si="41"/>
        <v>234.45584745027787</v>
      </c>
      <c r="R96" s="304">
        <f t="shared" si="42"/>
        <v>260.5064971669754</v>
      </c>
      <c r="S96" s="304">
        <f t="shared" si="43"/>
        <v>0.018026272297880227</v>
      </c>
      <c r="T96" s="304">
        <f t="shared" si="44"/>
        <v>0.018026272297880227</v>
      </c>
    </row>
    <row r="97" spans="1:20" ht="12.75">
      <c r="A97" s="123" t="s">
        <v>438</v>
      </c>
      <c r="B97" s="546">
        <v>25</v>
      </c>
      <c r="C97" s="364" t="s">
        <v>641</v>
      </c>
      <c r="D97" s="361">
        <v>252.32</v>
      </c>
      <c r="E97" s="372" t="s">
        <v>643</v>
      </c>
      <c r="F97" s="382" t="str">
        <f t="shared" si="36"/>
        <v>mittel</v>
      </c>
      <c r="G97" s="304">
        <v>5.905</v>
      </c>
      <c r="H97" s="353">
        <v>1.3E-05</v>
      </c>
      <c r="I97" s="353"/>
      <c r="J97" s="353">
        <f t="shared" si="37"/>
        <v>1.3E-05</v>
      </c>
      <c r="K97" s="353">
        <v>0.0015</v>
      </c>
      <c r="L97" s="353">
        <v>6.57E-07</v>
      </c>
      <c r="M97" s="353">
        <f t="shared" si="38"/>
        <v>2.6854094120801533E-05</v>
      </c>
      <c r="N97" s="353"/>
      <c r="O97" s="353">
        <f t="shared" si="39"/>
        <v>2.6854094120801533E-05</v>
      </c>
      <c r="P97" s="304">
        <f t="shared" si="40"/>
        <v>167.63426688867142</v>
      </c>
      <c r="Q97" s="304">
        <f t="shared" si="41"/>
        <v>234.45584745027787</v>
      </c>
      <c r="R97" s="304">
        <f t="shared" si="42"/>
        <v>260.5064971669754</v>
      </c>
      <c r="S97" s="304">
        <f t="shared" si="43"/>
        <v>0.018026272297880227</v>
      </c>
      <c r="T97" s="304">
        <f t="shared" si="44"/>
        <v>0.018026272297880227</v>
      </c>
    </row>
    <row r="98" spans="1:20" ht="12.75">
      <c r="A98" s="123" t="s">
        <v>434</v>
      </c>
      <c r="B98" s="546">
        <v>25</v>
      </c>
      <c r="C98" s="364" t="s">
        <v>641</v>
      </c>
      <c r="D98" s="361">
        <v>252.32</v>
      </c>
      <c r="E98" s="372" t="s">
        <v>644</v>
      </c>
      <c r="F98" s="382" t="str">
        <f t="shared" si="36"/>
        <v>mittel</v>
      </c>
      <c r="G98" s="304">
        <v>5.896</v>
      </c>
      <c r="H98" s="353">
        <v>7.65E-08</v>
      </c>
      <c r="I98" s="353"/>
      <c r="J98" s="353">
        <f t="shared" si="37"/>
        <v>7.65E-08</v>
      </c>
      <c r="K98" s="353">
        <v>0.0008</v>
      </c>
      <c r="L98" s="353">
        <v>5.84E-07</v>
      </c>
      <c r="M98" s="353">
        <f t="shared" si="38"/>
        <v>2.3870305885156922E-05</v>
      </c>
      <c r="N98" s="353"/>
      <c r="O98" s="353">
        <f t="shared" si="39"/>
        <v>2.3870305885156922E-05</v>
      </c>
      <c r="P98" s="304">
        <f t="shared" si="40"/>
        <v>167.63426688867142</v>
      </c>
      <c r="Q98" s="304">
        <f t="shared" si="41"/>
        <v>234.45584745027787</v>
      </c>
      <c r="R98" s="304">
        <f t="shared" si="42"/>
        <v>260.5064971669754</v>
      </c>
      <c r="S98" s="304">
        <f t="shared" si="43"/>
        <v>0.018026272297880227</v>
      </c>
      <c r="T98" s="304">
        <f t="shared" si="44"/>
        <v>0.018026272297880227</v>
      </c>
    </row>
    <row r="99" spans="1:20" ht="12.75">
      <c r="A99" s="123" t="s">
        <v>435</v>
      </c>
      <c r="B99" s="546">
        <v>25</v>
      </c>
      <c r="C99" s="364" t="s">
        <v>645</v>
      </c>
      <c r="D99" s="361">
        <v>276.34</v>
      </c>
      <c r="E99" s="372" t="s">
        <v>646</v>
      </c>
      <c r="F99" s="382" t="str">
        <f t="shared" si="36"/>
        <v>mittel</v>
      </c>
      <c r="G99" s="304">
        <v>6.428</v>
      </c>
      <c r="H99" s="353">
        <v>3.18E-08</v>
      </c>
      <c r="I99" s="353"/>
      <c r="J99" s="353">
        <f t="shared" si="37"/>
        <v>3.18E-08</v>
      </c>
      <c r="K99" s="353">
        <v>0.00026</v>
      </c>
      <c r="L99" s="353">
        <v>3.31E-07</v>
      </c>
      <c r="M99" s="353">
        <f t="shared" si="38"/>
        <v>1.3529231589018733E-05</v>
      </c>
      <c r="N99" s="353"/>
      <c r="O99" s="353">
        <f t="shared" si="39"/>
        <v>1.3529231589018733E-05</v>
      </c>
      <c r="P99" s="304">
        <f t="shared" si="40"/>
        <v>160.65733210944666</v>
      </c>
      <c r="Q99" s="304">
        <f t="shared" si="41"/>
        <v>254.44694056625585</v>
      </c>
      <c r="R99" s="304">
        <f t="shared" si="42"/>
        <v>282.7188228513954</v>
      </c>
      <c r="S99" s="304">
        <f t="shared" si="43"/>
        <v>0.017178099980669954</v>
      </c>
      <c r="T99" s="304">
        <f t="shared" si="44"/>
        <v>0.017178099980669954</v>
      </c>
    </row>
    <row r="100" spans="1:20" ht="12.75">
      <c r="A100" s="123" t="s">
        <v>437</v>
      </c>
      <c r="B100" s="546">
        <v>25</v>
      </c>
      <c r="C100" s="364" t="s">
        <v>647</v>
      </c>
      <c r="D100" s="361">
        <v>278.36</v>
      </c>
      <c r="E100" s="372" t="s">
        <v>648</v>
      </c>
      <c r="F100" s="382" t="str">
        <f t="shared" si="36"/>
        <v>gering</v>
      </c>
      <c r="G100" s="304">
        <v>6.419</v>
      </c>
      <c r="H100" s="353">
        <v>2.5E-07</v>
      </c>
      <c r="I100" s="353"/>
      <c r="J100" s="353">
        <f t="shared" si="37"/>
        <v>2.5E-07</v>
      </c>
      <c r="K100" s="353">
        <v>0.00249</v>
      </c>
      <c r="L100" s="353">
        <v>1.23E-07</v>
      </c>
      <c r="M100" s="353">
        <f t="shared" si="38"/>
        <v>5.02747880800394E-06</v>
      </c>
      <c r="N100" s="353"/>
      <c r="O100" s="353">
        <f t="shared" si="39"/>
        <v>5.02747880800394E-06</v>
      </c>
      <c r="P100" s="304">
        <f t="shared" si="40"/>
        <v>160.11158935634953</v>
      </c>
      <c r="Q100" s="304">
        <f t="shared" si="41"/>
        <v>256.1199824731122</v>
      </c>
      <c r="R100" s="304">
        <f t="shared" si="42"/>
        <v>284.577758303458</v>
      </c>
      <c r="S100" s="304">
        <f t="shared" si="43"/>
        <v>0.01711191824242472</v>
      </c>
      <c r="T100" s="304">
        <f t="shared" si="44"/>
        <v>0.01711191824242472</v>
      </c>
    </row>
    <row r="101" spans="1:20" ht="12.75">
      <c r="A101" s="123" t="s">
        <v>436</v>
      </c>
      <c r="B101" s="546">
        <v>25</v>
      </c>
      <c r="C101" s="364" t="s">
        <v>645</v>
      </c>
      <c r="D101" s="361">
        <v>278.36</v>
      </c>
      <c r="E101" s="372" t="s">
        <v>649</v>
      </c>
      <c r="F101" s="382" t="str">
        <f t="shared" si="36"/>
        <v>mittel</v>
      </c>
      <c r="G101" s="304">
        <v>6.428</v>
      </c>
      <c r="H101" s="353">
        <v>3.33E-09</v>
      </c>
      <c r="I101" s="353"/>
      <c r="J101" s="353">
        <f t="shared" si="37"/>
        <v>3.33E-09</v>
      </c>
      <c r="K101" s="353">
        <v>0.00019</v>
      </c>
      <c r="L101" s="353">
        <v>3.48E-07</v>
      </c>
      <c r="M101" s="353">
        <f t="shared" si="38"/>
        <v>1.4224086383620903E-05</v>
      </c>
      <c r="N101" s="353"/>
      <c r="O101" s="353">
        <f t="shared" si="39"/>
        <v>1.4224086383620903E-05</v>
      </c>
      <c r="P101" s="304">
        <f t="shared" si="40"/>
        <v>160.11158935634953</v>
      </c>
      <c r="Q101" s="304">
        <f t="shared" si="41"/>
        <v>256.1199824731122</v>
      </c>
      <c r="R101" s="304">
        <f t="shared" si="42"/>
        <v>284.577758303458</v>
      </c>
      <c r="S101" s="304">
        <f t="shared" si="43"/>
        <v>0.01711191824242472</v>
      </c>
      <c r="T101" s="304">
        <f t="shared" si="44"/>
        <v>0.01711191824242472</v>
      </c>
    </row>
    <row r="102" spans="1:20" ht="13.5" thickBot="1">
      <c r="A102" s="123"/>
      <c r="B102" s="543"/>
      <c r="C102" s="364"/>
      <c r="D102" s="361"/>
      <c r="E102" s="372"/>
      <c r="F102" s="372"/>
      <c r="G102" s="304"/>
      <c r="H102" s="353"/>
      <c r="I102" s="353"/>
      <c r="J102" s="353"/>
      <c r="K102" s="353"/>
      <c r="L102" s="353"/>
      <c r="M102" s="353"/>
      <c r="N102" s="353"/>
      <c r="O102" s="353"/>
      <c r="P102" s="304"/>
      <c r="Q102" s="304"/>
      <c r="R102" s="304"/>
      <c r="S102" s="304"/>
      <c r="T102" s="304"/>
    </row>
    <row r="103" spans="1:20" ht="12.75">
      <c r="A103" s="157" t="s">
        <v>367</v>
      </c>
      <c r="B103" s="541"/>
      <c r="C103" s="363"/>
      <c r="D103" s="373"/>
      <c r="E103" s="374"/>
      <c r="F103" s="374"/>
      <c r="G103" s="383"/>
      <c r="H103" s="354"/>
      <c r="I103" s="354"/>
      <c r="J103" s="354"/>
      <c r="K103" s="354"/>
      <c r="L103" s="354"/>
      <c r="M103" s="354"/>
      <c r="N103" s="354"/>
      <c r="O103" s="354"/>
      <c r="P103" s="383"/>
      <c r="Q103" s="383"/>
      <c r="R103" s="383"/>
      <c r="S103" s="383"/>
      <c r="T103" s="383"/>
    </row>
    <row r="104" spans="1:20" ht="12.75">
      <c r="A104" s="123" t="s">
        <v>359</v>
      </c>
      <c r="B104" s="546">
        <v>25</v>
      </c>
      <c r="C104" s="364" t="s">
        <v>657</v>
      </c>
      <c r="D104" s="361">
        <v>117.15</v>
      </c>
      <c r="E104" s="372" t="s">
        <v>654</v>
      </c>
      <c r="F104" s="382" t="str">
        <f aca="true" t="shared" si="45" ref="F104:F111">IF($M104&lt;0.00001226,"gering",IF($M104&lt;0.04087,"mittel","hoch"))</f>
        <v>mittel</v>
      </c>
      <c r="G104" s="304">
        <v>2.998</v>
      </c>
      <c r="H104" s="353">
        <v>0.0122</v>
      </c>
      <c r="I104" s="353"/>
      <c r="J104" s="353">
        <f aca="true" t="shared" si="46" ref="J104:J111">$H104/(EXP(-$I104/8.314*(1/298.15-1/(B104+273.15))))</f>
        <v>0.0122</v>
      </c>
      <c r="K104" s="353">
        <v>3560</v>
      </c>
      <c r="L104" s="353">
        <v>5.28E-07</v>
      </c>
      <c r="M104" s="353">
        <f aca="true" t="shared" si="47" ref="M104:M111">$L104/(0.000082057834*298.15)</f>
        <v>2.158137244411447E-05</v>
      </c>
      <c r="N104" s="353"/>
      <c r="O104" s="353">
        <f aca="true" t="shared" si="48" ref="O104:O111">$M104*EXP($N104*(1/298.15-1/(273.15+$B104)))</f>
        <v>2.158137244411447E-05</v>
      </c>
      <c r="P104" s="304">
        <f aca="true" t="shared" si="49" ref="P104:P111">0.001*($B104+273.15)^1.75*SQRT((28.97+$D104)/(28.97*$D104))/(1*(20.1^(1/3)+($Q104)^(1/3))^2)/10000*86400*365</f>
        <v>241.23619294950416</v>
      </c>
      <c r="Q104" s="304">
        <f aca="true" t="shared" si="50" ref="Q104:Q111">0.9*$R104</f>
        <v>117.5517763004251</v>
      </c>
      <c r="R104" s="304">
        <f aca="true" t="shared" si="51" ref="R104:R111">(13.26*0.00001/(0.8904^1.14*$S104/(0.0001*86400*365)))^(1/0.589)</f>
        <v>130.6130847782501</v>
      </c>
      <c r="S104" s="304">
        <f aca="true" t="shared" si="52" ref="S104:S111">0.00000000000003595*298.15/(0.001*$D104^0.53)*3600*24*365</f>
        <v>0.027071162143095295</v>
      </c>
      <c r="T104" s="304">
        <f aca="true" t="shared" si="53" ref="T104:T111">0.00000000000003595*($B104+273.15)/(0.001*$D104^0.53)*3600*24*365</f>
        <v>0.027071162143095295</v>
      </c>
    </row>
    <row r="105" spans="1:20" ht="12.75">
      <c r="A105" s="123" t="s">
        <v>360</v>
      </c>
      <c r="B105" s="546">
        <v>25</v>
      </c>
      <c r="C105" s="364" t="s">
        <v>656</v>
      </c>
      <c r="D105" s="361">
        <v>118.14</v>
      </c>
      <c r="E105" s="372" t="s">
        <v>658</v>
      </c>
      <c r="F105" s="382" t="str">
        <f t="shared" si="45"/>
        <v>mittel</v>
      </c>
      <c r="G105" s="304">
        <v>2.998</v>
      </c>
      <c r="H105" s="353">
        <v>0.44</v>
      </c>
      <c r="I105" s="353">
        <v>48400</v>
      </c>
      <c r="J105" s="353">
        <f t="shared" si="46"/>
        <v>0.44</v>
      </c>
      <c r="K105" s="353">
        <v>534.8</v>
      </c>
      <c r="L105" s="353">
        <v>0.000375</v>
      </c>
      <c r="M105" s="353">
        <f t="shared" si="47"/>
        <v>0.01532767929269494</v>
      </c>
      <c r="N105" s="353">
        <v>3500</v>
      </c>
      <c r="O105" s="353">
        <f t="shared" si="48"/>
        <v>0.01532767929269494</v>
      </c>
      <c r="P105" s="304">
        <f t="shared" si="49"/>
        <v>240.25414928403475</v>
      </c>
      <c r="Q105" s="304">
        <f t="shared" si="50"/>
        <v>118.44528623318794</v>
      </c>
      <c r="R105" s="304">
        <f t="shared" si="51"/>
        <v>131.60587359243104</v>
      </c>
      <c r="S105" s="304">
        <f t="shared" si="52"/>
        <v>0.026950692139150856</v>
      </c>
      <c r="T105" s="304">
        <f t="shared" si="53"/>
        <v>0.026950692139150856</v>
      </c>
    </row>
    <row r="106" spans="1:20" ht="12.75">
      <c r="A106" s="123" t="s">
        <v>361</v>
      </c>
      <c r="B106" s="546">
        <v>25</v>
      </c>
      <c r="C106" s="364" t="s">
        <v>659</v>
      </c>
      <c r="D106" s="361">
        <v>134.2</v>
      </c>
      <c r="E106" s="372" t="s">
        <v>660</v>
      </c>
      <c r="F106" s="382" t="str">
        <f t="shared" si="45"/>
        <v>mittel</v>
      </c>
      <c r="G106" s="304">
        <v>2.998</v>
      </c>
      <c r="H106" s="353">
        <v>0.239</v>
      </c>
      <c r="I106" s="353"/>
      <c r="J106" s="353">
        <f t="shared" si="46"/>
        <v>0.239</v>
      </c>
      <c r="K106" s="353">
        <v>130</v>
      </c>
      <c r="L106" s="353">
        <v>9.124E-05</v>
      </c>
      <c r="M106" s="353">
        <f t="shared" si="47"/>
        <v>0.003729326556441297</v>
      </c>
      <c r="N106" s="353"/>
      <c r="O106" s="353">
        <f t="shared" si="48"/>
        <v>0.003729326556441297</v>
      </c>
      <c r="P106" s="304">
        <f t="shared" si="49"/>
        <v>225.92973061913943</v>
      </c>
      <c r="Q106" s="304">
        <f t="shared" si="50"/>
        <v>132.83985043133828</v>
      </c>
      <c r="R106" s="304">
        <f t="shared" si="51"/>
        <v>147.5998338125981</v>
      </c>
      <c r="S106" s="304">
        <f t="shared" si="52"/>
        <v>0.025190192245648647</v>
      </c>
      <c r="T106" s="304">
        <f t="shared" si="53"/>
        <v>0.025190192245648647</v>
      </c>
    </row>
    <row r="107" spans="1:20" ht="12.75">
      <c r="A107" s="123" t="s">
        <v>362</v>
      </c>
      <c r="B107" s="546">
        <v>25</v>
      </c>
      <c r="C107" s="364" t="s">
        <v>661</v>
      </c>
      <c r="D107" s="361">
        <v>129.16</v>
      </c>
      <c r="E107" s="372" t="s">
        <v>662</v>
      </c>
      <c r="F107" s="382" t="str">
        <f t="shared" si="45"/>
        <v>mittel</v>
      </c>
      <c r="G107" s="304">
        <v>3.264</v>
      </c>
      <c r="H107" s="353">
        <v>0.06</v>
      </c>
      <c r="I107" s="353"/>
      <c r="J107" s="353">
        <f t="shared" si="46"/>
        <v>0.06</v>
      </c>
      <c r="K107" s="353">
        <v>6110</v>
      </c>
      <c r="L107" s="353">
        <v>1.67E-06</v>
      </c>
      <c r="M107" s="353">
        <f t="shared" si="47"/>
        <v>6.825926511680146E-05</v>
      </c>
      <c r="N107" s="353"/>
      <c r="O107" s="353">
        <f t="shared" si="48"/>
        <v>6.825926511680146E-05</v>
      </c>
      <c r="P107" s="304">
        <f t="shared" si="49"/>
        <v>230.12593561938021</v>
      </c>
      <c r="Q107" s="304">
        <f t="shared" si="50"/>
        <v>128.34210819439087</v>
      </c>
      <c r="R107" s="304">
        <f t="shared" si="51"/>
        <v>142.60234243821208</v>
      </c>
      <c r="S107" s="304">
        <f t="shared" si="52"/>
        <v>0.02570647073655927</v>
      </c>
      <c r="T107" s="304">
        <f t="shared" si="53"/>
        <v>0.02570647073655927</v>
      </c>
    </row>
    <row r="108" spans="1:20" ht="12.75">
      <c r="A108" s="123" t="s">
        <v>364</v>
      </c>
      <c r="B108" s="546">
        <v>25</v>
      </c>
      <c r="C108" s="364" t="s">
        <v>665</v>
      </c>
      <c r="D108" s="361">
        <v>167.21</v>
      </c>
      <c r="E108" s="372" t="s">
        <v>666</v>
      </c>
      <c r="F108" s="382" t="str">
        <f t="shared" si="45"/>
        <v>gering</v>
      </c>
      <c r="G108" s="304">
        <v>4.053</v>
      </c>
      <c r="H108" s="353">
        <v>7.5E-07</v>
      </c>
      <c r="I108" s="353"/>
      <c r="J108" s="353">
        <f t="shared" si="46"/>
        <v>7.5E-07</v>
      </c>
      <c r="K108" s="353">
        <v>1.8</v>
      </c>
      <c r="L108" s="353">
        <v>2.728E-08</v>
      </c>
      <c r="M108" s="353">
        <f t="shared" si="47"/>
        <v>1.1150375762792478E-06</v>
      </c>
      <c r="N108" s="353"/>
      <c r="O108" s="353">
        <f t="shared" si="48"/>
        <v>1.1150375762792478E-06</v>
      </c>
      <c r="P108" s="304">
        <f t="shared" si="49"/>
        <v>203.4335257280655</v>
      </c>
      <c r="Q108" s="304">
        <f t="shared" si="50"/>
        <v>161.90897384723675</v>
      </c>
      <c r="R108" s="304">
        <f t="shared" si="51"/>
        <v>179.89885983026306</v>
      </c>
      <c r="S108" s="304">
        <f t="shared" si="52"/>
        <v>0.022418746410857414</v>
      </c>
      <c r="T108" s="304">
        <f t="shared" si="53"/>
        <v>0.022418746410857414</v>
      </c>
    </row>
    <row r="109" spans="1:20" ht="12.75">
      <c r="A109" s="123" t="s">
        <v>363</v>
      </c>
      <c r="B109" s="546">
        <v>25</v>
      </c>
      <c r="C109" s="364" t="s">
        <v>663</v>
      </c>
      <c r="D109" s="361">
        <v>179.22</v>
      </c>
      <c r="E109" s="372" t="s">
        <v>664</v>
      </c>
      <c r="F109" s="382" t="str">
        <f t="shared" si="45"/>
        <v>mittel</v>
      </c>
      <c r="G109" s="304">
        <v>4.31</v>
      </c>
      <c r="H109" s="353">
        <v>0.000135</v>
      </c>
      <c r="I109" s="353"/>
      <c r="J109" s="353">
        <f t="shared" si="46"/>
        <v>0.000135</v>
      </c>
      <c r="K109" s="353">
        <v>38.4</v>
      </c>
      <c r="L109" s="353">
        <v>1.135E-06</v>
      </c>
      <c r="M109" s="353">
        <f t="shared" si="47"/>
        <v>4.639177599255668E-05</v>
      </c>
      <c r="N109" s="353"/>
      <c r="O109" s="353">
        <f t="shared" si="48"/>
        <v>4.639177599255668E-05</v>
      </c>
      <c r="P109" s="304">
        <f t="shared" si="49"/>
        <v>196.86328190864543</v>
      </c>
      <c r="Q109" s="304">
        <f t="shared" si="50"/>
        <v>172.3366352238547</v>
      </c>
      <c r="R109" s="304">
        <f t="shared" si="51"/>
        <v>191.48515024872745</v>
      </c>
      <c r="S109" s="304">
        <f t="shared" si="52"/>
        <v>0.021609538131680445</v>
      </c>
      <c r="T109" s="304">
        <f t="shared" si="53"/>
        <v>0.021609538131680445</v>
      </c>
    </row>
    <row r="110" spans="1:20" ht="12.75">
      <c r="A110" s="123" t="s">
        <v>365</v>
      </c>
      <c r="B110" s="546">
        <v>25</v>
      </c>
      <c r="C110" s="364" t="s">
        <v>667</v>
      </c>
      <c r="D110" s="361">
        <v>168</v>
      </c>
      <c r="E110" s="372" t="s">
        <v>668</v>
      </c>
      <c r="F110" s="382" t="str">
        <f t="shared" si="45"/>
        <v>mittel</v>
      </c>
      <c r="G110" s="304">
        <v>4.053</v>
      </c>
      <c r="H110" s="353">
        <v>0.00248</v>
      </c>
      <c r="I110" s="353"/>
      <c r="J110" s="353">
        <f t="shared" si="46"/>
        <v>0.00248</v>
      </c>
      <c r="K110" s="353">
        <v>3.1</v>
      </c>
      <c r="L110" s="353">
        <v>0.0001496</v>
      </c>
      <c r="M110" s="353">
        <f t="shared" si="47"/>
        <v>0.006114722192499101</v>
      </c>
      <c r="N110" s="353"/>
      <c r="O110" s="353">
        <f t="shared" si="48"/>
        <v>0.006114722192499101</v>
      </c>
      <c r="P110" s="304">
        <f t="shared" si="49"/>
        <v>202.97951420239167</v>
      </c>
      <c r="Q110" s="304">
        <f t="shared" si="50"/>
        <v>162.5971406803139</v>
      </c>
      <c r="R110" s="304">
        <f t="shared" si="51"/>
        <v>180.66348964479323</v>
      </c>
      <c r="S110" s="304">
        <f t="shared" si="52"/>
        <v>0.0223628111371244</v>
      </c>
      <c r="T110" s="304">
        <f t="shared" si="53"/>
        <v>0.0223628111371244</v>
      </c>
    </row>
    <row r="111" spans="1:20" ht="12.75">
      <c r="A111" s="123" t="s">
        <v>366</v>
      </c>
      <c r="B111" s="546">
        <v>25</v>
      </c>
      <c r="C111" s="364" t="s">
        <v>669</v>
      </c>
      <c r="D111" s="361">
        <v>184.26</v>
      </c>
      <c r="E111" s="372" t="s">
        <v>670</v>
      </c>
      <c r="F111" s="382" t="str">
        <f t="shared" si="45"/>
        <v>mittel</v>
      </c>
      <c r="G111" s="304">
        <v>4.053</v>
      </c>
      <c r="H111" s="353">
        <v>0.000205</v>
      </c>
      <c r="I111" s="353"/>
      <c r="J111" s="353">
        <f t="shared" si="46"/>
        <v>0.000205</v>
      </c>
      <c r="K111" s="353">
        <v>1.47</v>
      </c>
      <c r="L111" s="353">
        <v>3.38E-05</v>
      </c>
      <c r="M111" s="353">
        <f t="shared" si="47"/>
        <v>0.001381534826914904</v>
      </c>
      <c r="N111" s="353"/>
      <c r="O111" s="353">
        <f t="shared" si="48"/>
        <v>0.001381534826914904</v>
      </c>
      <c r="P111" s="304">
        <f t="shared" si="49"/>
        <v>194.30150115915848</v>
      </c>
      <c r="Q111" s="304">
        <f t="shared" si="50"/>
        <v>176.69151677152698</v>
      </c>
      <c r="R111" s="304">
        <f t="shared" si="51"/>
        <v>196.32390752391885</v>
      </c>
      <c r="S111" s="304">
        <f t="shared" si="52"/>
        <v>0.021294225554081492</v>
      </c>
      <c r="T111" s="304">
        <f t="shared" si="53"/>
        <v>0.021294225554081492</v>
      </c>
    </row>
    <row r="112" spans="1:20" ht="13.5" thickBot="1">
      <c r="A112" s="126"/>
      <c r="B112" s="544"/>
      <c r="C112" s="365"/>
      <c r="D112" s="375"/>
      <c r="E112" s="376"/>
      <c r="F112" s="376"/>
      <c r="G112" s="307"/>
      <c r="H112" s="355"/>
      <c r="I112" s="355"/>
      <c r="J112" s="355"/>
      <c r="K112" s="355"/>
      <c r="L112" s="355"/>
      <c r="M112" s="355"/>
      <c r="N112" s="355"/>
      <c r="O112" s="355"/>
      <c r="P112" s="307"/>
      <c r="Q112" s="307"/>
      <c r="R112" s="307"/>
      <c r="S112" s="307"/>
      <c r="T112" s="307"/>
    </row>
    <row r="113" spans="1:20" ht="12.75">
      <c r="A113" s="131" t="s">
        <v>716</v>
      </c>
      <c r="B113" s="539"/>
      <c r="C113" s="318"/>
      <c r="D113" s="361"/>
      <c r="E113" s="372"/>
      <c r="F113" s="372"/>
      <c r="G113" s="304"/>
      <c r="H113" s="353"/>
      <c r="I113" s="353"/>
      <c r="J113" s="353"/>
      <c r="K113" s="353"/>
      <c r="L113" s="353"/>
      <c r="M113" s="353"/>
      <c r="N113" s="353"/>
      <c r="O113" s="353"/>
      <c r="P113" s="304"/>
      <c r="Q113" s="304"/>
      <c r="R113" s="304"/>
      <c r="S113" s="304"/>
      <c r="T113" s="304"/>
    </row>
    <row r="114" spans="1:20" ht="12.75">
      <c r="A114" s="123" t="s">
        <v>125</v>
      </c>
      <c r="B114" s="546">
        <v>25</v>
      </c>
      <c r="C114" s="364" t="s">
        <v>671</v>
      </c>
      <c r="D114" s="361">
        <v>112.56</v>
      </c>
      <c r="E114" s="372" t="s">
        <v>1022</v>
      </c>
      <c r="F114" s="382" t="str">
        <f aca="true" t="shared" si="54" ref="F114:F121">IF($M114&lt;0.00001226,"gering",IF($M114&lt;0.04087,"mittel","hoch"))</f>
        <v>hoch</v>
      </c>
      <c r="G114" s="304">
        <v>2.428</v>
      </c>
      <c r="H114" s="353">
        <v>12</v>
      </c>
      <c r="I114" s="353">
        <v>35190</v>
      </c>
      <c r="J114" s="353">
        <f aca="true" t="shared" si="55" ref="J114:J121">$H114/(EXP(-$I114/8.314*(1/298.15-1/(B114+273.15))))</f>
        <v>12</v>
      </c>
      <c r="K114" s="353">
        <v>498</v>
      </c>
      <c r="L114" s="353">
        <v>0.00311</v>
      </c>
      <c r="M114" s="353">
        <f aca="true" t="shared" si="56" ref="M114:M121">$L114/(0.000082057834*298.15)</f>
        <v>0.12711755360075003</v>
      </c>
      <c r="N114" s="353">
        <v>4200</v>
      </c>
      <c r="O114" s="353">
        <f aca="true" t="shared" si="57" ref="O114:O121">$M114*EXP($N114*(1/298.15-1/(273.15+$B114)))</f>
        <v>0.12711755360075003</v>
      </c>
      <c r="P114" s="304">
        <f aca="true" t="shared" si="58" ref="P114:P121">0.001*($B114+273.15)^1.75*SQRT((28.97+$D114)/(28.97*$D114))/(1*(20.1^(1/3)+($Q114)^(1/3))^2)/10000*86400*365</f>
        <v>245.96478045669426</v>
      </c>
      <c r="Q114" s="304">
        <f aca="true" t="shared" si="59" ref="Q114:Q121">0.9*$R114</f>
        <v>113.39913856377753</v>
      </c>
      <c r="R114" s="304">
        <f aca="true" t="shared" si="60" ref="R114:R121">(13.26*0.00001/(0.8904^1.14*$S114/(0.0001*86400*365)))^(1/0.589)</f>
        <v>125.9990428486417</v>
      </c>
      <c r="S114" s="304">
        <f aca="true" t="shared" si="61" ref="S114:S121">0.00000000000003595*298.15/(0.001*$D114^0.53)*3600*24*365</f>
        <v>0.027650739492792013</v>
      </c>
      <c r="T114" s="304">
        <f aca="true" t="shared" si="62" ref="T114:T121">0.00000000000003595*($B114+273.15)/(0.001*$D114^0.53)*3600*24*365</f>
        <v>0.027650739492792013</v>
      </c>
    </row>
    <row r="115" spans="1:20" ht="12.75">
      <c r="A115" s="123" t="s">
        <v>375</v>
      </c>
      <c r="B115" s="546">
        <v>25</v>
      </c>
      <c r="C115" s="364" t="s">
        <v>672</v>
      </c>
      <c r="D115" s="361">
        <v>147</v>
      </c>
      <c r="E115" s="372" t="s">
        <v>673</v>
      </c>
      <c r="F115" s="382" t="str">
        <f t="shared" si="54"/>
        <v>hoch</v>
      </c>
      <c r="G115" s="304">
        <v>2.646</v>
      </c>
      <c r="H115" s="353">
        <v>1.47</v>
      </c>
      <c r="I115" s="353">
        <v>45000</v>
      </c>
      <c r="J115" s="353">
        <f t="shared" si="55"/>
        <v>1.47</v>
      </c>
      <c r="K115" s="353">
        <v>80</v>
      </c>
      <c r="L115" s="353">
        <v>0.00192</v>
      </c>
      <c r="M115" s="353">
        <f t="shared" si="56"/>
        <v>0.0784777179785981</v>
      </c>
      <c r="N115" s="353">
        <v>5100</v>
      </c>
      <c r="O115" s="353">
        <f t="shared" si="57"/>
        <v>0.0784777179785981</v>
      </c>
      <c r="P115" s="304">
        <f t="shared" si="58"/>
        <v>216.28837272108288</v>
      </c>
      <c r="Q115" s="304">
        <f t="shared" si="59"/>
        <v>144.18829210136204</v>
      </c>
      <c r="R115" s="304">
        <f t="shared" si="60"/>
        <v>160.2092134459578</v>
      </c>
      <c r="S115" s="304">
        <f t="shared" si="61"/>
        <v>0.024002812240520977</v>
      </c>
      <c r="T115" s="304">
        <f t="shared" si="62"/>
        <v>0.024002812240520977</v>
      </c>
    </row>
    <row r="116" spans="1:20" ht="12.75">
      <c r="A116" s="123" t="s">
        <v>376</v>
      </c>
      <c r="B116" s="546">
        <v>25</v>
      </c>
      <c r="C116" s="364" t="s">
        <v>674</v>
      </c>
      <c r="D116" s="361">
        <v>181.45</v>
      </c>
      <c r="E116" s="372" t="s">
        <v>675</v>
      </c>
      <c r="F116" s="382" t="str">
        <f t="shared" si="54"/>
        <v>hoch</v>
      </c>
      <c r="G116" s="304">
        <v>2.856</v>
      </c>
      <c r="H116" s="353">
        <v>0.46</v>
      </c>
      <c r="I116" s="353">
        <v>55000</v>
      </c>
      <c r="J116" s="353">
        <f t="shared" si="55"/>
        <v>0.46</v>
      </c>
      <c r="K116" s="353">
        <v>49</v>
      </c>
      <c r="L116" s="353">
        <v>0.00142</v>
      </c>
      <c r="M116" s="353">
        <f t="shared" si="56"/>
        <v>0.05804081225500484</v>
      </c>
      <c r="N116" s="353">
        <v>4000</v>
      </c>
      <c r="O116" s="353">
        <f t="shared" si="57"/>
        <v>0.05804081225500484</v>
      </c>
      <c r="P116" s="304">
        <f t="shared" si="58"/>
        <v>195.71651060438043</v>
      </c>
      <c r="Q116" s="304">
        <f t="shared" si="59"/>
        <v>174.26499057229879</v>
      </c>
      <c r="R116" s="304">
        <f t="shared" si="60"/>
        <v>193.6277673025542</v>
      </c>
      <c r="S116" s="304">
        <f t="shared" si="61"/>
        <v>0.021468372387383198</v>
      </c>
      <c r="T116" s="304">
        <f t="shared" si="62"/>
        <v>0.021468372387383198</v>
      </c>
    </row>
    <row r="117" spans="1:20" ht="12.75">
      <c r="A117" s="123" t="s">
        <v>452</v>
      </c>
      <c r="B117" s="546">
        <v>25</v>
      </c>
      <c r="C117" s="364" t="s">
        <v>676</v>
      </c>
      <c r="D117" s="361">
        <v>284.78</v>
      </c>
      <c r="E117" s="372" t="s">
        <v>677</v>
      </c>
      <c r="F117" s="382" t="str">
        <f t="shared" si="54"/>
        <v>hoch</v>
      </c>
      <c r="G117" s="304">
        <v>3.529</v>
      </c>
      <c r="H117" s="353">
        <v>1.8E-05</v>
      </c>
      <c r="I117" s="353">
        <v>90500</v>
      </c>
      <c r="J117" s="353">
        <f t="shared" si="55"/>
        <v>1.8E-05</v>
      </c>
      <c r="K117" s="353">
        <v>0.0062</v>
      </c>
      <c r="L117" s="353">
        <v>0.0017</v>
      </c>
      <c r="M117" s="353">
        <f t="shared" si="56"/>
        <v>0.06948547946021705</v>
      </c>
      <c r="N117" s="353">
        <v>5800</v>
      </c>
      <c r="O117" s="353">
        <f t="shared" si="57"/>
        <v>0.06948547946021705</v>
      </c>
      <c r="P117" s="304">
        <f t="shared" si="58"/>
        <v>158.41524599255777</v>
      </c>
      <c r="Q117" s="304">
        <f t="shared" si="59"/>
        <v>261.42924835121346</v>
      </c>
      <c r="R117" s="304">
        <f t="shared" si="60"/>
        <v>290.47694261245937</v>
      </c>
      <c r="S117" s="304">
        <f t="shared" si="61"/>
        <v>0.016906366828857183</v>
      </c>
      <c r="T117" s="304">
        <f t="shared" si="62"/>
        <v>0.016906366828857183</v>
      </c>
    </row>
    <row r="118" spans="1:20" ht="12.75">
      <c r="A118" s="156" t="s">
        <v>378</v>
      </c>
      <c r="B118" s="546">
        <v>25</v>
      </c>
      <c r="C118" s="362" t="s">
        <v>705</v>
      </c>
      <c r="D118" s="361">
        <v>128.56</v>
      </c>
      <c r="E118" s="372" t="s">
        <v>706</v>
      </c>
      <c r="F118" s="382" t="str">
        <f t="shared" si="54"/>
        <v>mittel</v>
      </c>
      <c r="G118" s="304">
        <v>2.646</v>
      </c>
      <c r="H118" s="353">
        <v>2.53</v>
      </c>
      <c r="I118" s="353"/>
      <c r="J118" s="353">
        <f t="shared" si="55"/>
        <v>2.53</v>
      </c>
      <c r="K118" s="353">
        <v>28500</v>
      </c>
      <c r="L118" s="353">
        <v>1.12E-05</v>
      </c>
      <c r="M118" s="353">
        <f t="shared" si="56"/>
        <v>0.00045778668820848885</v>
      </c>
      <c r="N118" s="353"/>
      <c r="O118" s="353">
        <f t="shared" si="57"/>
        <v>0.00045778668820848885</v>
      </c>
      <c r="P118" s="304">
        <f t="shared" si="58"/>
        <v>230.6424122254192</v>
      </c>
      <c r="Q118" s="304">
        <f t="shared" si="59"/>
        <v>127.80550387601643</v>
      </c>
      <c r="R118" s="304">
        <f t="shared" si="60"/>
        <v>142.00611541779602</v>
      </c>
      <c r="S118" s="304">
        <f t="shared" si="61"/>
        <v>0.025769987479458308</v>
      </c>
      <c r="T118" s="304">
        <f t="shared" si="62"/>
        <v>0.025769987479458308</v>
      </c>
    </row>
    <row r="119" spans="1:20" ht="12.75">
      <c r="A119" s="156" t="s">
        <v>379</v>
      </c>
      <c r="B119" s="546">
        <v>25</v>
      </c>
      <c r="C119" s="362" t="s">
        <v>707</v>
      </c>
      <c r="D119" s="361">
        <v>163</v>
      </c>
      <c r="E119" s="372" t="s">
        <v>708</v>
      </c>
      <c r="F119" s="382" t="str">
        <f t="shared" si="54"/>
        <v>mittel</v>
      </c>
      <c r="G119" s="304">
        <v>2.856</v>
      </c>
      <c r="H119" s="353">
        <v>0.142</v>
      </c>
      <c r="I119" s="353"/>
      <c r="J119" s="353">
        <f t="shared" si="55"/>
        <v>0.142</v>
      </c>
      <c r="K119" s="353">
        <v>4500</v>
      </c>
      <c r="L119" s="353">
        <v>2.19E-06</v>
      </c>
      <c r="M119" s="353">
        <f t="shared" si="56"/>
        <v>8.951364706933845E-05</v>
      </c>
      <c r="N119" s="353"/>
      <c r="O119" s="353">
        <f t="shared" si="57"/>
        <v>8.951364706933845E-05</v>
      </c>
      <c r="P119" s="304">
        <f t="shared" si="58"/>
        <v>205.90928016143314</v>
      </c>
      <c r="Q119" s="304">
        <f t="shared" si="59"/>
        <v>158.2361188998174</v>
      </c>
      <c r="R119" s="304">
        <f t="shared" si="60"/>
        <v>175.817909888686</v>
      </c>
      <c r="S119" s="304">
        <f t="shared" si="61"/>
        <v>0.022723796167587077</v>
      </c>
      <c r="T119" s="304">
        <f t="shared" si="62"/>
        <v>0.022723796167587077</v>
      </c>
    </row>
    <row r="120" spans="1:20" ht="12.75">
      <c r="A120" s="156" t="s">
        <v>380</v>
      </c>
      <c r="B120" s="546">
        <v>25</v>
      </c>
      <c r="C120" s="362" t="s">
        <v>709</v>
      </c>
      <c r="D120" s="361">
        <v>197.45</v>
      </c>
      <c r="E120" s="372" t="s">
        <v>710</v>
      </c>
      <c r="F120" s="382" t="str">
        <f t="shared" si="54"/>
        <v>mittel</v>
      </c>
      <c r="G120" s="304">
        <v>3.074</v>
      </c>
      <c r="H120" s="353">
        <v>0.0218</v>
      </c>
      <c r="I120" s="353"/>
      <c r="J120" s="353">
        <f t="shared" si="55"/>
        <v>0.0218</v>
      </c>
      <c r="K120" s="353">
        <v>800</v>
      </c>
      <c r="L120" s="353">
        <v>2.6E-06</v>
      </c>
      <c r="M120" s="353">
        <f t="shared" si="56"/>
        <v>0.00010627190976268492</v>
      </c>
      <c r="N120" s="353"/>
      <c r="O120" s="353">
        <f t="shared" si="57"/>
        <v>0.00010627190976268492</v>
      </c>
      <c r="P120" s="304">
        <f t="shared" si="58"/>
        <v>188.0711393189906</v>
      </c>
      <c r="Q120" s="304">
        <f t="shared" si="59"/>
        <v>188.03299570028415</v>
      </c>
      <c r="R120" s="304">
        <f t="shared" si="60"/>
        <v>208.92555077809348</v>
      </c>
      <c r="S120" s="304">
        <f t="shared" si="61"/>
        <v>0.02052806584967639</v>
      </c>
      <c r="T120" s="304">
        <f t="shared" si="62"/>
        <v>0.02052806584967639</v>
      </c>
    </row>
    <row r="121" spans="1:20" ht="12.75">
      <c r="A121" s="156" t="s">
        <v>711</v>
      </c>
      <c r="B121" s="546">
        <v>25</v>
      </c>
      <c r="C121" s="362" t="s">
        <v>712</v>
      </c>
      <c r="D121" s="361">
        <v>266.34</v>
      </c>
      <c r="E121" s="372" t="s">
        <v>713</v>
      </c>
      <c r="F121" s="382" t="str">
        <f t="shared" si="54"/>
        <v>gering</v>
      </c>
      <c r="G121" s="304">
        <v>3.529</v>
      </c>
      <c r="H121" s="353">
        <v>0.00327</v>
      </c>
      <c r="I121" s="353"/>
      <c r="J121" s="353">
        <f t="shared" si="55"/>
        <v>0.00327</v>
      </c>
      <c r="K121" s="353">
        <v>14</v>
      </c>
      <c r="L121" s="353">
        <v>2.45E-08</v>
      </c>
      <c r="M121" s="353">
        <f t="shared" si="56"/>
        <v>1.0014083804560694E-06</v>
      </c>
      <c r="N121" s="353"/>
      <c r="O121" s="353">
        <f t="shared" si="57"/>
        <v>1.0014083804560694E-06</v>
      </c>
      <c r="P121" s="304">
        <f t="shared" si="58"/>
        <v>163.44855220697053</v>
      </c>
      <c r="Q121" s="304">
        <f t="shared" si="59"/>
        <v>246.1463096540363</v>
      </c>
      <c r="R121" s="304">
        <f t="shared" si="60"/>
        <v>273.4958996155959</v>
      </c>
      <c r="S121" s="304">
        <f t="shared" si="61"/>
        <v>0.01751697159648198</v>
      </c>
      <c r="T121" s="304">
        <f t="shared" si="62"/>
        <v>0.01751697159648198</v>
      </c>
    </row>
    <row r="122" spans="1:20" ht="13.5" thickBot="1">
      <c r="A122" s="126"/>
      <c r="B122" s="544"/>
      <c r="C122" s="365"/>
      <c r="D122" s="375"/>
      <c r="E122" s="376"/>
      <c r="F122" s="376"/>
      <c r="G122" s="307"/>
      <c r="H122" s="355"/>
      <c r="I122" s="355"/>
      <c r="J122" s="355"/>
      <c r="K122" s="355"/>
      <c r="L122" s="355"/>
      <c r="M122" s="355"/>
      <c r="N122" s="355"/>
      <c r="O122" s="355"/>
      <c r="P122" s="307"/>
      <c r="Q122" s="307"/>
      <c r="R122" s="307"/>
      <c r="S122" s="307"/>
      <c r="T122" s="307"/>
    </row>
    <row r="123" spans="1:20" ht="12.75">
      <c r="A123" s="131" t="s">
        <v>355</v>
      </c>
      <c r="B123" s="539"/>
      <c r="C123" s="318"/>
      <c r="D123" s="361"/>
      <c r="E123" s="372"/>
      <c r="F123" s="372"/>
      <c r="G123" s="304"/>
      <c r="H123" s="353"/>
      <c r="I123" s="353"/>
      <c r="J123" s="353"/>
      <c r="K123" s="353"/>
      <c r="L123" s="353"/>
      <c r="M123" s="353"/>
      <c r="N123" s="353"/>
      <c r="O123" s="353"/>
      <c r="P123" s="304"/>
      <c r="Q123" s="304"/>
      <c r="R123" s="304"/>
      <c r="S123" s="304"/>
      <c r="T123" s="304"/>
    </row>
    <row r="124" spans="1:20" ht="12.75">
      <c r="A124" s="123" t="s">
        <v>356</v>
      </c>
      <c r="B124" s="546">
        <v>25</v>
      </c>
      <c r="C124" s="364" t="s">
        <v>678</v>
      </c>
      <c r="D124" s="361">
        <v>123.11</v>
      </c>
      <c r="E124" s="372" t="s">
        <v>679</v>
      </c>
      <c r="F124" s="382" t="str">
        <f aca="true" t="shared" si="63" ref="F124:F136">IF($M124&lt;0.00001226,"gering",IF($M124&lt;0.04087,"mittel","hoch"))</f>
        <v>mittel</v>
      </c>
      <c r="G124" s="304">
        <v>2.281</v>
      </c>
      <c r="H124" s="353">
        <v>0.245</v>
      </c>
      <c r="I124" s="353"/>
      <c r="J124" s="353">
        <f aca="true" t="shared" si="64" ref="J124:J136">$H124/(EXP(-$I124/8.314*(1/298.15-1/(B124+273.15))))</f>
        <v>0.245</v>
      </c>
      <c r="K124" s="353">
        <v>2090</v>
      </c>
      <c r="L124" s="353">
        <v>2.4E-05</v>
      </c>
      <c r="M124" s="353">
        <f aca="true" t="shared" si="65" ref="M124:M136">$L124/(0.000082057834*298.15)</f>
        <v>0.0009809714747324762</v>
      </c>
      <c r="N124" s="353"/>
      <c r="O124" s="353">
        <f aca="true" t="shared" si="66" ref="O124:O136">$M124*EXP($N124*(1/298.15-1/(273.15+$B124)))</f>
        <v>0.0009809714747324762</v>
      </c>
      <c r="P124" s="304">
        <f aca="true" t="shared" si="67" ref="P124:P136">0.001*($B124+273.15)^1.75*SQRT((28.97+$D124)/(28.97*$D124))/(1*(20.1^(1/3)+($Q124)^(1/3))^2)/10000*86400*365</f>
        <v>235.51163667159815</v>
      </c>
      <c r="Q124" s="304">
        <f aca="true" t="shared" si="68" ref="Q124:Q136">0.9*$R124</f>
        <v>122.91969434633941</v>
      </c>
      <c r="R124" s="304">
        <f aca="true" t="shared" si="69" ref="R124:R136">(13.26*0.00001/(0.8904^1.14*$S124/(0.0001*86400*365)))^(1/0.589)</f>
        <v>136.57743816259935</v>
      </c>
      <c r="S124" s="304">
        <f aca="true" t="shared" si="70" ref="S124:S136">0.00000000000003595*298.15/(0.001*$D124^0.53)*3600*24*365</f>
        <v>0.026368465060941433</v>
      </c>
      <c r="T124" s="304">
        <f aca="true" t="shared" si="71" ref="T124:T136">0.00000000000003595*($B124+273.15)/(0.001*$D124^0.53)*3600*24*365</f>
        <v>0.026368465060941433</v>
      </c>
    </row>
    <row r="125" spans="1:20" ht="12.75">
      <c r="A125" s="123" t="s">
        <v>491</v>
      </c>
      <c r="B125" s="546">
        <v>25</v>
      </c>
      <c r="C125" s="364" t="s">
        <v>680</v>
      </c>
      <c r="D125" s="361">
        <v>168.11</v>
      </c>
      <c r="E125" s="372" t="s">
        <v>681</v>
      </c>
      <c r="F125" s="382" t="str">
        <f t="shared" si="63"/>
        <v>gering</v>
      </c>
      <c r="G125" s="304">
        <v>2.343</v>
      </c>
      <c r="H125" s="353">
        <v>0.00395</v>
      </c>
      <c r="I125" s="353"/>
      <c r="J125" s="353">
        <f t="shared" si="64"/>
        <v>0.00395</v>
      </c>
      <c r="K125" s="353">
        <v>533</v>
      </c>
      <c r="L125" s="353">
        <v>4.9E-08</v>
      </c>
      <c r="M125" s="353">
        <f t="shared" si="65"/>
        <v>2.002816760912139E-06</v>
      </c>
      <c r="N125" s="353"/>
      <c r="O125" s="353">
        <f t="shared" si="66"/>
        <v>2.002816760912139E-06</v>
      </c>
      <c r="P125" s="304">
        <f t="shared" si="67"/>
        <v>202.9165551142823</v>
      </c>
      <c r="Q125" s="304">
        <f t="shared" si="68"/>
        <v>162.69293563657</v>
      </c>
      <c r="R125" s="304">
        <f t="shared" si="69"/>
        <v>180.7699284850778</v>
      </c>
      <c r="S125" s="304">
        <f t="shared" si="70"/>
        <v>0.022355054594209667</v>
      </c>
      <c r="T125" s="304">
        <f t="shared" si="71"/>
        <v>0.022355054594209667</v>
      </c>
    </row>
    <row r="126" spans="1:20" ht="12.75">
      <c r="A126" s="123" t="s">
        <v>490</v>
      </c>
      <c r="B126" s="546">
        <v>25</v>
      </c>
      <c r="C126" s="364" t="s">
        <v>682</v>
      </c>
      <c r="D126" s="361">
        <v>213.11</v>
      </c>
      <c r="E126" s="372" t="s">
        <v>683</v>
      </c>
      <c r="F126" s="382" t="str">
        <f t="shared" si="63"/>
        <v>gering</v>
      </c>
      <c r="G126" s="304">
        <v>3.036</v>
      </c>
      <c r="H126" s="353">
        <v>5.8E-05</v>
      </c>
      <c r="I126" s="353"/>
      <c r="J126" s="353">
        <f t="shared" si="64"/>
        <v>5.8E-05</v>
      </c>
      <c r="K126" s="353">
        <v>278</v>
      </c>
      <c r="L126" s="353">
        <v>1.806E-08</v>
      </c>
      <c r="M126" s="353">
        <f t="shared" si="65"/>
        <v>7.381810347361883E-07</v>
      </c>
      <c r="N126" s="353"/>
      <c r="O126" s="353">
        <f t="shared" si="66"/>
        <v>7.381810347361883E-07</v>
      </c>
      <c r="P126" s="304">
        <f t="shared" si="67"/>
        <v>181.44155023298697</v>
      </c>
      <c r="Q126" s="304">
        <f t="shared" si="68"/>
        <v>201.40046061220315</v>
      </c>
      <c r="R126" s="304">
        <f t="shared" si="69"/>
        <v>223.7782895691146</v>
      </c>
      <c r="S126" s="304">
        <f t="shared" si="70"/>
        <v>0.019714251193971036</v>
      </c>
      <c r="T126" s="304">
        <f t="shared" si="71"/>
        <v>0.019714251193971036</v>
      </c>
    </row>
    <row r="127" spans="1:20" ht="12.75">
      <c r="A127" s="123" t="s">
        <v>406</v>
      </c>
      <c r="B127" s="546">
        <v>25</v>
      </c>
      <c r="C127" s="364" t="s">
        <v>684</v>
      </c>
      <c r="D127" s="361">
        <v>137.14</v>
      </c>
      <c r="E127" s="372" t="s">
        <v>685</v>
      </c>
      <c r="F127" s="382" t="str">
        <f t="shared" si="63"/>
        <v>mittel</v>
      </c>
      <c r="G127" s="304">
        <v>2.499</v>
      </c>
      <c r="H127" s="353">
        <v>0.188</v>
      </c>
      <c r="I127" s="353"/>
      <c r="J127" s="353">
        <f t="shared" si="64"/>
        <v>0.188</v>
      </c>
      <c r="K127" s="353">
        <v>650</v>
      </c>
      <c r="L127" s="353">
        <v>1.25E-05</v>
      </c>
      <c r="M127" s="353">
        <f t="shared" si="65"/>
        <v>0.0005109226430898313</v>
      </c>
      <c r="N127" s="353"/>
      <c r="O127" s="353">
        <f t="shared" si="66"/>
        <v>0.0005109226430898313</v>
      </c>
      <c r="P127" s="304">
        <f t="shared" si="67"/>
        <v>223.5928531046098</v>
      </c>
      <c r="Q127" s="304">
        <f t="shared" si="68"/>
        <v>135.45568798087828</v>
      </c>
      <c r="R127" s="304">
        <f t="shared" si="69"/>
        <v>150.50631997875365</v>
      </c>
      <c r="S127" s="304">
        <f t="shared" si="70"/>
        <v>0.024902521195608</v>
      </c>
      <c r="T127" s="304">
        <f t="shared" si="71"/>
        <v>0.024902521195608</v>
      </c>
    </row>
    <row r="128" spans="1:20" ht="12.75">
      <c r="A128" s="123" t="s">
        <v>480</v>
      </c>
      <c r="B128" s="546">
        <v>25</v>
      </c>
      <c r="C128" s="364" t="s">
        <v>684</v>
      </c>
      <c r="D128" s="361">
        <v>137.14</v>
      </c>
      <c r="E128" s="372" t="s">
        <v>686</v>
      </c>
      <c r="F128" s="382" t="str">
        <f t="shared" si="63"/>
        <v>mittel</v>
      </c>
      <c r="G128" s="304">
        <v>2.49</v>
      </c>
      <c r="H128" s="353">
        <v>0.205</v>
      </c>
      <c r="I128" s="353"/>
      <c r="J128" s="353">
        <f t="shared" si="64"/>
        <v>0.205</v>
      </c>
      <c r="K128" s="353">
        <v>500</v>
      </c>
      <c r="L128" s="353">
        <v>9.3E-06</v>
      </c>
      <c r="M128" s="353">
        <f t="shared" si="65"/>
        <v>0.00038012644645883453</v>
      </c>
      <c r="N128" s="353"/>
      <c r="O128" s="353">
        <f t="shared" si="66"/>
        <v>0.00038012644645883453</v>
      </c>
      <c r="P128" s="304">
        <f t="shared" si="67"/>
        <v>223.5928531046098</v>
      </c>
      <c r="Q128" s="304">
        <f t="shared" si="68"/>
        <v>135.45568798087828</v>
      </c>
      <c r="R128" s="304">
        <f t="shared" si="69"/>
        <v>150.50631997875365</v>
      </c>
      <c r="S128" s="304">
        <f t="shared" si="70"/>
        <v>0.024902521195608</v>
      </c>
      <c r="T128" s="304">
        <f t="shared" si="71"/>
        <v>0.024902521195608</v>
      </c>
    </row>
    <row r="129" spans="1:20" ht="12.75">
      <c r="A129" s="123" t="s">
        <v>481</v>
      </c>
      <c r="B129" s="546">
        <v>25</v>
      </c>
      <c r="C129" s="364" t="s">
        <v>684</v>
      </c>
      <c r="D129" s="361">
        <v>137.14</v>
      </c>
      <c r="E129" s="372" t="s">
        <v>687</v>
      </c>
      <c r="F129" s="382" t="str">
        <f t="shared" si="63"/>
        <v>mittel</v>
      </c>
      <c r="G129" s="304">
        <v>2.49</v>
      </c>
      <c r="H129" s="353">
        <v>0.0157</v>
      </c>
      <c r="I129" s="353"/>
      <c r="J129" s="353">
        <f t="shared" si="64"/>
        <v>0.0157</v>
      </c>
      <c r="K129" s="353">
        <v>442</v>
      </c>
      <c r="L129" s="353">
        <v>5.63E-06</v>
      </c>
      <c r="M129" s="353">
        <f t="shared" si="65"/>
        <v>0.00023011955844766003</v>
      </c>
      <c r="N129" s="353"/>
      <c r="O129" s="353">
        <f t="shared" si="66"/>
        <v>0.00023011955844766003</v>
      </c>
      <c r="P129" s="304">
        <f t="shared" si="67"/>
        <v>223.5928531046098</v>
      </c>
      <c r="Q129" s="304">
        <f t="shared" si="68"/>
        <v>135.45568798087828</v>
      </c>
      <c r="R129" s="304">
        <f t="shared" si="69"/>
        <v>150.50631997875365</v>
      </c>
      <c r="S129" s="304">
        <f t="shared" si="70"/>
        <v>0.024902521195608</v>
      </c>
      <c r="T129" s="304">
        <f t="shared" si="71"/>
        <v>0.024902521195608</v>
      </c>
    </row>
    <row r="130" spans="1:20" ht="12.75">
      <c r="A130" s="123" t="s">
        <v>496</v>
      </c>
      <c r="B130" s="546">
        <v>25</v>
      </c>
      <c r="C130" s="364" t="s">
        <v>688</v>
      </c>
      <c r="D130" s="361">
        <v>182.14</v>
      </c>
      <c r="E130" s="372" t="s">
        <v>689</v>
      </c>
      <c r="F130" s="382" t="str">
        <f t="shared" si="63"/>
        <v>mittel</v>
      </c>
      <c r="G130" s="304">
        <v>2.57</v>
      </c>
      <c r="H130" s="353">
        <v>0.00144</v>
      </c>
      <c r="I130" s="353"/>
      <c r="J130" s="353">
        <f t="shared" si="64"/>
        <v>0.00144</v>
      </c>
      <c r="K130" s="353">
        <v>352.4</v>
      </c>
      <c r="L130" s="353">
        <v>7.47E-07</v>
      </c>
      <c r="M130" s="353">
        <f t="shared" si="65"/>
        <v>3.053273715104832E-05</v>
      </c>
      <c r="N130" s="353"/>
      <c r="O130" s="353">
        <f t="shared" si="66"/>
        <v>3.053273715104832E-05</v>
      </c>
      <c r="P130" s="304">
        <f t="shared" si="67"/>
        <v>195.36599430676955</v>
      </c>
      <c r="Q130" s="304">
        <f t="shared" si="68"/>
        <v>174.86117445710073</v>
      </c>
      <c r="R130" s="304">
        <f t="shared" si="69"/>
        <v>194.29019384122302</v>
      </c>
      <c r="S130" s="304">
        <f t="shared" si="70"/>
        <v>0.02142522982606202</v>
      </c>
      <c r="T130" s="304">
        <f t="shared" si="71"/>
        <v>0.02142522982606202</v>
      </c>
    </row>
    <row r="131" spans="1:20" ht="12.75">
      <c r="A131" s="123" t="s">
        <v>495</v>
      </c>
      <c r="B131" s="546">
        <v>25</v>
      </c>
      <c r="C131" s="364" t="s">
        <v>688</v>
      </c>
      <c r="D131" s="361">
        <v>182.14</v>
      </c>
      <c r="E131" s="372" t="s">
        <v>690</v>
      </c>
      <c r="F131" s="382" t="str">
        <f t="shared" si="63"/>
        <v>gering</v>
      </c>
      <c r="G131" s="304">
        <v>2.561</v>
      </c>
      <c r="H131" s="353">
        <v>0.000419</v>
      </c>
      <c r="I131" s="353"/>
      <c r="J131" s="353">
        <f t="shared" si="64"/>
        <v>0.000419</v>
      </c>
      <c r="K131" s="353">
        <v>270</v>
      </c>
      <c r="L131" s="353">
        <v>5.4E-08</v>
      </c>
      <c r="M131" s="353">
        <f t="shared" si="65"/>
        <v>2.2071858181480713E-06</v>
      </c>
      <c r="N131" s="353"/>
      <c r="O131" s="353">
        <f t="shared" si="66"/>
        <v>2.2071858181480713E-06</v>
      </c>
      <c r="P131" s="304">
        <f t="shared" si="67"/>
        <v>195.36599430676955</v>
      </c>
      <c r="Q131" s="304">
        <f t="shared" si="68"/>
        <v>174.86117445710073</v>
      </c>
      <c r="R131" s="304">
        <f t="shared" si="69"/>
        <v>194.29019384122302</v>
      </c>
      <c r="S131" s="304">
        <f t="shared" si="70"/>
        <v>0.02142522982606202</v>
      </c>
      <c r="T131" s="304">
        <f t="shared" si="71"/>
        <v>0.02142522982606202</v>
      </c>
    </row>
    <row r="132" spans="1:20" ht="12.75">
      <c r="A132" s="123" t="s">
        <v>377</v>
      </c>
      <c r="B132" s="546">
        <v>25</v>
      </c>
      <c r="C132" s="364" t="s">
        <v>688</v>
      </c>
      <c r="D132" s="361">
        <v>182.14</v>
      </c>
      <c r="E132" s="372" t="s">
        <v>691</v>
      </c>
      <c r="F132" s="382" t="str">
        <f t="shared" si="63"/>
        <v>gering</v>
      </c>
      <c r="G132" s="304">
        <v>2.552</v>
      </c>
      <c r="H132" s="353">
        <v>0.00191</v>
      </c>
      <c r="I132" s="353"/>
      <c r="J132" s="353">
        <f t="shared" si="64"/>
        <v>0.00191</v>
      </c>
      <c r="K132" s="353">
        <v>303.7</v>
      </c>
      <c r="L132" s="353">
        <v>1.523E-07</v>
      </c>
      <c r="M132" s="353">
        <f t="shared" si="65"/>
        <v>6.225081483406505E-06</v>
      </c>
      <c r="N132" s="353"/>
      <c r="O132" s="353">
        <f t="shared" si="66"/>
        <v>6.225081483406505E-06</v>
      </c>
      <c r="P132" s="304">
        <f t="shared" si="67"/>
        <v>195.36599430676955</v>
      </c>
      <c r="Q132" s="304">
        <f t="shared" si="68"/>
        <v>174.86117445710073</v>
      </c>
      <c r="R132" s="304">
        <f t="shared" si="69"/>
        <v>194.29019384122302</v>
      </c>
      <c r="S132" s="304">
        <f t="shared" si="70"/>
        <v>0.02142522982606202</v>
      </c>
      <c r="T132" s="304">
        <f t="shared" si="71"/>
        <v>0.02142522982606202</v>
      </c>
    </row>
    <row r="133" spans="1:20" ht="12.75">
      <c r="A133" s="123" t="s">
        <v>692</v>
      </c>
      <c r="B133" s="546">
        <v>25</v>
      </c>
      <c r="C133" s="364" t="s">
        <v>693</v>
      </c>
      <c r="D133" s="361">
        <v>227.13</v>
      </c>
      <c r="E133" s="372" t="s">
        <v>694</v>
      </c>
      <c r="F133" s="382" t="str">
        <f t="shared" si="63"/>
        <v>mittel</v>
      </c>
      <c r="G133" s="304">
        <v>3.263</v>
      </c>
      <c r="H133" s="353">
        <v>2.81E-05</v>
      </c>
      <c r="I133" s="353"/>
      <c r="J133" s="353">
        <f t="shared" si="64"/>
        <v>2.81E-05</v>
      </c>
      <c r="K133" s="353">
        <v>130</v>
      </c>
      <c r="L133" s="353">
        <v>4.57E-07</v>
      </c>
      <c r="M133" s="353">
        <f t="shared" si="65"/>
        <v>1.867933183136423E-05</v>
      </c>
      <c r="N133" s="353"/>
      <c r="O133" s="353">
        <f t="shared" si="66"/>
        <v>1.867933183136423E-05</v>
      </c>
      <c r="P133" s="304">
        <f t="shared" si="67"/>
        <v>176.09743855573032</v>
      </c>
      <c r="Q133" s="304">
        <f t="shared" si="68"/>
        <v>213.28453488889798</v>
      </c>
      <c r="R133" s="304">
        <f t="shared" si="69"/>
        <v>236.98281654321997</v>
      </c>
      <c r="S133" s="304">
        <f t="shared" si="70"/>
        <v>0.019059645989007463</v>
      </c>
      <c r="T133" s="304">
        <f t="shared" si="71"/>
        <v>0.019059645989007463</v>
      </c>
    </row>
    <row r="134" spans="1:20" ht="12.75">
      <c r="A134" s="123" t="s">
        <v>493</v>
      </c>
      <c r="B134" s="546">
        <v>25</v>
      </c>
      <c r="C134" s="364" t="s">
        <v>695</v>
      </c>
      <c r="D134" s="361">
        <v>139.11</v>
      </c>
      <c r="E134" s="372" t="s">
        <v>696</v>
      </c>
      <c r="F134" s="382" t="str">
        <f t="shared" si="63"/>
        <v>mittel</v>
      </c>
      <c r="G134" s="304">
        <v>2.499</v>
      </c>
      <c r="H134" s="353">
        <v>0.177</v>
      </c>
      <c r="I134" s="353"/>
      <c r="J134" s="353">
        <f t="shared" si="64"/>
        <v>0.177</v>
      </c>
      <c r="K134" s="353">
        <v>2500</v>
      </c>
      <c r="L134" s="353">
        <v>1.28E-05</v>
      </c>
      <c r="M134" s="353">
        <f t="shared" si="65"/>
        <v>0.0005231847865239872</v>
      </c>
      <c r="N134" s="353"/>
      <c r="O134" s="353">
        <f t="shared" si="66"/>
        <v>0.0005231847865239872</v>
      </c>
      <c r="P134" s="304">
        <f t="shared" si="67"/>
        <v>222.06984171167025</v>
      </c>
      <c r="Q134" s="304">
        <f t="shared" si="68"/>
        <v>137.20532905537235</v>
      </c>
      <c r="R134" s="304">
        <f t="shared" si="69"/>
        <v>152.4503656170804</v>
      </c>
      <c r="S134" s="304">
        <f t="shared" si="70"/>
        <v>0.024714987179284695</v>
      </c>
      <c r="T134" s="304">
        <f t="shared" si="71"/>
        <v>0.024714987179284695</v>
      </c>
    </row>
    <row r="135" spans="1:20" ht="12.75">
      <c r="A135" s="123" t="s">
        <v>741</v>
      </c>
      <c r="B135" s="546">
        <v>25</v>
      </c>
      <c r="C135" s="364" t="s">
        <v>697</v>
      </c>
      <c r="D135" s="361">
        <v>229.11</v>
      </c>
      <c r="E135" s="372" t="s">
        <v>698</v>
      </c>
      <c r="F135" s="382" t="str">
        <f t="shared" si="63"/>
        <v>gering</v>
      </c>
      <c r="G135" s="304">
        <v>3.263</v>
      </c>
      <c r="H135" s="353">
        <v>6.91E-06</v>
      </c>
      <c r="I135" s="353"/>
      <c r="J135" s="353">
        <f t="shared" si="64"/>
        <v>6.91E-06</v>
      </c>
      <c r="K135" s="353">
        <v>12700</v>
      </c>
      <c r="L135" s="353">
        <v>5.089E-11</v>
      </c>
      <c r="M135" s="353">
        <f t="shared" si="65"/>
        <v>2.080068264547321E-09</v>
      </c>
      <c r="N135" s="353"/>
      <c r="O135" s="353">
        <f t="shared" si="66"/>
        <v>2.080068264547321E-09</v>
      </c>
      <c r="P135" s="304">
        <f t="shared" si="67"/>
        <v>175.38237119860722</v>
      </c>
      <c r="Q135" s="304">
        <f t="shared" si="68"/>
        <v>214.95686332190436</v>
      </c>
      <c r="R135" s="304">
        <f t="shared" si="69"/>
        <v>238.8409592465604</v>
      </c>
      <c r="S135" s="304">
        <f t="shared" si="70"/>
        <v>0.01897216841970327</v>
      </c>
      <c r="T135" s="304">
        <f t="shared" si="71"/>
        <v>0.01897216841970327</v>
      </c>
    </row>
    <row r="136" spans="1:20" ht="12.75">
      <c r="A136" s="123" t="s">
        <v>482</v>
      </c>
      <c r="B136" s="546">
        <v>25</v>
      </c>
      <c r="C136" s="364" t="s">
        <v>699</v>
      </c>
      <c r="D136" s="361">
        <v>197.15</v>
      </c>
      <c r="E136" s="372" t="s">
        <v>700</v>
      </c>
      <c r="F136" s="382" t="str">
        <f t="shared" si="63"/>
        <v>gering</v>
      </c>
      <c r="G136" s="304">
        <v>2.002</v>
      </c>
      <c r="H136" s="353">
        <v>0.000118</v>
      </c>
      <c r="I136" s="353"/>
      <c r="J136" s="353">
        <f t="shared" si="64"/>
        <v>0.000118</v>
      </c>
      <c r="K136" s="353">
        <v>1223</v>
      </c>
      <c r="L136" s="353">
        <v>7.063E-10</v>
      </c>
      <c r="M136" s="353">
        <f t="shared" si="65"/>
        <v>2.886917302514783E-08</v>
      </c>
      <c r="N136" s="353"/>
      <c r="O136" s="353">
        <f t="shared" si="66"/>
        <v>2.886917302514783E-08</v>
      </c>
      <c r="P136" s="304">
        <f t="shared" si="67"/>
        <v>188.20582150204913</v>
      </c>
      <c r="Q136" s="304">
        <f t="shared" si="68"/>
        <v>187.77590177056592</v>
      </c>
      <c r="R136" s="304">
        <f t="shared" si="69"/>
        <v>208.63989085618437</v>
      </c>
      <c r="S136" s="304">
        <f t="shared" si="70"/>
        <v>0.0205446156653522</v>
      </c>
      <c r="T136" s="304">
        <f t="shared" si="71"/>
        <v>0.0205446156653522</v>
      </c>
    </row>
    <row r="137" spans="1:20" ht="13.5" thickBot="1">
      <c r="A137" s="126"/>
      <c r="B137" s="544"/>
      <c r="C137" s="365"/>
      <c r="D137" s="375"/>
      <c r="E137" s="376"/>
      <c r="F137" s="376"/>
      <c r="G137" s="307"/>
      <c r="H137" s="355"/>
      <c r="I137" s="355"/>
      <c r="J137" s="355"/>
      <c r="K137" s="355"/>
      <c r="L137" s="355"/>
      <c r="M137" s="355"/>
      <c r="N137" s="355"/>
      <c r="O137" s="355"/>
      <c r="P137" s="307"/>
      <c r="Q137" s="307"/>
      <c r="R137" s="307"/>
      <c r="S137" s="307"/>
      <c r="T137" s="307"/>
    </row>
    <row r="138" spans="1:20" ht="12.75">
      <c r="A138" s="131" t="s">
        <v>188</v>
      </c>
      <c r="B138" s="539"/>
      <c r="C138" s="318"/>
      <c r="D138" s="361"/>
      <c r="E138" s="372"/>
      <c r="F138" s="372"/>
      <c r="G138" s="304"/>
      <c r="H138" s="353"/>
      <c r="I138" s="353"/>
      <c r="J138" s="353"/>
      <c r="K138" s="353"/>
      <c r="L138" s="353"/>
      <c r="M138" s="353"/>
      <c r="N138" s="353"/>
      <c r="O138" s="353"/>
      <c r="P138" s="304"/>
      <c r="Q138" s="304"/>
      <c r="R138" s="304"/>
      <c r="S138" s="304"/>
      <c r="T138" s="304"/>
    </row>
    <row r="139" spans="1:20" ht="12.75">
      <c r="A139" s="156" t="s">
        <v>128</v>
      </c>
      <c r="B139" s="546">
        <v>25</v>
      </c>
      <c r="C139" s="362" t="s">
        <v>701</v>
      </c>
      <c r="D139" s="361">
        <v>94.11</v>
      </c>
      <c r="E139" s="372" t="s">
        <v>702</v>
      </c>
      <c r="F139" s="382" t="str">
        <f>IF($M139&lt;0.00001226,"gering",IF($M139&lt;0.04087,"mittel","hoch"))</f>
        <v>mittel</v>
      </c>
      <c r="G139" s="304">
        <v>2.428</v>
      </c>
      <c r="H139" s="353">
        <v>0.503</v>
      </c>
      <c r="I139" s="353"/>
      <c r="J139" s="353">
        <f>$H139/(EXP(-$I139/8.314*(1/298.15-1/(B139+273.15))))</f>
        <v>0.503</v>
      </c>
      <c r="K139" s="353">
        <v>82800</v>
      </c>
      <c r="L139" s="353">
        <v>3.33E-07</v>
      </c>
      <c r="M139" s="353">
        <f>$L139/(0.000082057834*298.15)</f>
        <v>1.3610979211913105E-05</v>
      </c>
      <c r="N139" s="353"/>
      <c r="O139" s="353">
        <f>$M139*EXP($N139*(1/298.15-1/(273.15+$B139)))</f>
        <v>1.3610979211913105E-05</v>
      </c>
      <c r="P139" s="304">
        <f>0.001*($B139+273.15)^1.75*SQRT((28.97+$D139)/(28.97*$D139))/(1*(20.1^(1/3)+($Q139)^(1/3))^2)/10000*86400*365</f>
        <v>268.5289783536617</v>
      </c>
      <c r="Q139" s="304">
        <f>0.9*$R139</f>
        <v>96.52714820496695</v>
      </c>
      <c r="R139" s="304">
        <f>(13.26*0.00001/(0.8904^1.14*$S139/(0.0001*86400*365)))^(1/0.589)</f>
        <v>107.25238689440772</v>
      </c>
      <c r="S139" s="304">
        <f>0.00000000000003595*298.15/(0.001*$D139^0.53)*3600*24*365</f>
        <v>0.030402784098398004</v>
      </c>
      <c r="T139" s="304">
        <f>0.00000000000003595*($B139+273.15)/(0.001*$D139^0.53)*3600*24*365</f>
        <v>0.030402784098398004</v>
      </c>
    </row>
    <row r="140" spans="1:20" ht="12.75">
      <c r="A140" s="156" t="s">
        <v>396</v>
      </c>
      <c r="B140" s="546">
        <v>25</v>
      </c>
      <c r="C140" s="362" t="s">
        <v>703</v>
      </c>
      <c r="D140" s="361">
        <v>108.14</v>
      </c>
      <c r="E140" s="372" t="s">
        <v>704</v>
      </c>
      <c r="F140" s="382" t="str">
        <f>IF($M140&lt;0.00001226,"gering",IF($M140&lt;0.04087,"mittel","hoch"))</f>
        <v>mittel</v>
      </c>
      <c r="G140" s="304">
        <v>2.638</v>
      </c>
      <c r="H140" s="353">
        <v>0.11</v>
      </c>
      <c r="I140" s="353"/>
      <c r="J140" s="353">
        <f>$H140/(EXP(-$I140/8.314*(1/298.15-1/(B140+273.15))))</f>
        <v>0.11</v>
      </c>
      <c r="K140" s="353">
        <v>22700</v>
      </c>
      <c r="L140" s="353">
        <v>8.56E-07</v>
      </c>
      <c r="M140" s="353">
        <f>$L140/(0.000082057834*298.15)</f>
        <v>3.498798259879165E-05</v>
      </c>
      <c r="N140" s="353"/>
      <c r="O140" s="353">
        <f>$M140*EXP($N140*(1/298.15-1/(273.15+$B140)))</f>
        <v>3.498798259879165E-05</v>
      </c>
      <c r="P140" s="304">
        <f>0.001*($B140+273.15)^1.75*SQRT((28.97+$D140)/(28.97*$D140))/(1*(20.1^(1/3)+($Q140)^(1/3))^2)/10000*86400*365</f>
        <v>250.8132008222971</v>
      </c>
      <c r="Q140" s="304">
        <f>0.9*$R140</f>
        <v>109.38424208497896</v>
      </c>
      <c r="R140" s="304">
        <f>(13.26*0.00001/(0.8904^1.14*$S140/(0.0001*86400*365)))^(1/0.589)</f>
        <v>121.53804676108774</v>
      </c>
      <c r="S140" s="304">
        <f>0.00000000000003595*298.15/(0.001*$D140^0.53)*3600*24*365</f>
        <v>0.02824408707680289</v>
      </c>
      <c r="T140" s="304">
        <f>0.00000000000003595*($B140+273.15)/(0.001*$D140^0.53)*3600*24*365</f>
        <v>0.02824408707680289</v>
      </c>
    </row>
    <row r="141" spans="1:20" ht="12.75">
      <c r="A141" s="156" t="s">
        <v>450</v>
      </c>
      <c r="B141" s="546">
        <v>25</v>
      </c>
      <c r="C141" s="362" t="s">
        <v>714</v>
      </c>
      <c r="D141" s="361">
        <v>220.36</v>
      </c>
      <c r="E141" s="372" t="s">
        <v>715</v>
      </c>
      <c r="F141" s="382" t="str">
        <f>IF($M141&lt;0.00001226,"gering",IF($M141&lt;0.04087,"mittel","hoch"))</f>
        <v>mittel</v>
      </c>
      <c r="G141" s="304">
        <v>4.604</v>
      </c>
      <c r="H141" s="353">
        <v>0.00068</v>
      </c>
      <c r="I141" s="353"/>
      <c r="J141" s="353">
        <f>$H141/(EXP(-$I141/8.314*(1/298.15-1/(B141+273.15))))</f>
        <v>0.00068</v>
      </c>
      <c r="K141" s="353">
        <v>7.6224</v>
      </c>
      <c r="L141" s="353">
        <v>4.826E-05</v>
      </c>
      <c r="M141" s="353">
        <f>$L141/(0.000082057834*298.15)</f>
        <v>0.0019725701404412206</v>
      </c>
      <c r="N141" s="353"/>
      <c r="O141" s="353">
        <f>$M141*EXP($N141*(1/298.15-1/(273.15+$B141)))</f>
        <v>0.0019725701404412206</v>
      </c>
      <c r="P141" s="304">
        <f>0.001*($B141+273.15)^1.75*SQRT((28.97+$D141)/(28.97*$D141))/(1*(20.1^(1/3)+($Q141)^(1/3))^2)/10000*86400*365</f>
        <v>178.6144850355285</v>
      </c>
      <c r="Q141" s="304">
        <f>0.9*$R141</f>
        <v>207.5553985427509</v>
      </c>
      <c r="R141" s="304">
        <f>(13.26*0.00001/(0.8904^1.14*$S141/(0.0001*86400*365)))^(1/0.589)</f>
        <v>230.61710949194546</v>
      </c>
      <c r="S141" s="304">
        <f>0.00000000000003595*298.15/(0.001*$D141^0.53)*3600*24*365</f>
        <v>0.019367784784914178</v>
      </c>
      <c r="T141" s="304">
        <f>0.00000000000003595*($B141+273.15)/(0.001*$D141^0.53)*3600*24*365</f>
        <v>0.019367784784914178</v>
      </c>
    </row>
    <row r="142" spans="1:20" ht="13.5" thickBot="1">
      <c r="A142" s="156"/>
      <c r="B142" s="540"/>
      <c r="C142" s="362"/>
      <c r="D142" s="361"/>
      <c r="E142" s="372"/>
      <c r="F142" s="372"/>
      <c r="G142" s="304"/>
      <c r="H142" s="353"/>
      <c r="I142" s="353"/>
      <c r="J142" s="353"/>
      <c r="K142" s="353"/>
      <c r="L142" s="353"/>
      <c r="M142" s="353"/>
      <c r="N142" s="353"/>
      <c r="O142" s="353"/>
      <c r="P142" s="304"/>
      <c r="Q142" s="304"/>
      <c r="R142" s="304"/>
      <c r="S142" s="304"/>
      <c r="T142" s="304"/>
    </row>
    <row r="143" spans="1:20" ht="12.75">
      <c r="A143" s="157" t="s">
        <v>717</v>
      </c>
      <c r="B143" s="541"/>
      <c r="C143" s="363"/>
      <c r="D143" s="373"/>
      <c r="E143" s="374"/>
      <c r="F143" s="374"/>
      <c r="G143" s="383"/>
      <c r="H143" s="354"/>
      <c r="I143" s="354"/>
      <c r="J143" s="354"/>
      <c r="K143" s="354"/>
      <c r="L143" s="354"/>
      <c r="M143" s="354"/>
      <c r="N143" s="354"/>
      <c r="O143" s="354"/>
      <c r="P143" s="383"/>
      <c r="Q143" s="383"/>
      <c r="R143" s="383"/>
      <c r="S143" s="383"/>
      <c r="T143" s="383"/>
    </row>
    <row r="144" spans="1:20" ht="12.75">
      <c r="A144" s="156" t="s">
        <v>381</v>
      </c>
      <c r="B144" s="546">
        <v>25</v>
      </c>
      <c r="C144" s="362" t="s">
        <v>719</v>
      </c>
      <c r="D144" s="361">
        <v>326.44</v>
      </c>
      <c r="E144" s="378" t="s">
        <v>718</v>
      </c>
      <c r="F144" s="382" t="str">
        <f>IF($M144&lt;0.00001226,"gering",IF($M144&lt;0.04087,"mittel","hoch"))</f>
        <v>mittel</v>
      </c>
      <c r="G144" s="304">
        <v>4.87</v>
      </c>
      <c r="H144" s="353">
        <v>0.000306</v>
      </c>
      <c r="I144" s="353"/>
      <c r="J144" s="353">
        <f>$H144/(EXP(-$I144/8.314*(1/298.15-1/(B144+273.15))))</f>
        <v>0.000306</v>
      </c>
      <c r="K144" s="353">
        <v>0.0154</v>
      </c>
      <c r="L144" s="353">
        <v>9E-05</v>
      </c>
      <c r="M144" s="353">
        <f>$L144/(0.000082057834*298.15)</f>
        <v>0.0036786430302467856</v>
      </c>
      <c r="N144" s="353"/>
      <c r="O144" s="353">
        <f>$M144*EXP($N144*(1/298.15-1/(273.15+$B144)))</f>
        <v>0.0036786430302467856</v>
      </c>
      <c r="P144" s="304">
        <f>0.001*($B144+273.15)^1.75*SQRT((28.97+$D144)/(28.97*$D144))/(1*(20.1^(1/3)+($Q144)^(1/3))^2)/10000*86400*365</f>
        <v>148.63260593940714</v>
      </c>
      <c r="Q144" s="304">
        <f>0.9*$R144</f>
        <v>295.60284020212015</v>
      </c>
      <c r="R144" s="304">
        <f>(13.26*0.00001/(0.8904^1.14*$S144/(0.0001*86400*365)))^(1/0.589)</f>
        <v>328.4476002245779</v>
      </c>
      <c r="S144" s="304">
        <f>0.00000000000003595*298.15/(0.001*$D144^0.53)*3600*24*365</f>
        <v>0.015726226618899473</v>
      </c>
      <c r="T144" s="304">
        <f>0.00000000000003595*($B144+273.15)/(0.001*$D144^0.53)*3600*24*365</f>
        <v>0.015726226618899473</v>
      </c>
    </row>
    <row r="145" spans="1:20" ht="13.5" thickBot="1">
      <c r="A145" s="156"/>
      <c r="B145" s="540"/>
      <c r="C145" s="362"/>
      <c r="D145" s="361"/>
      <c r="E145" s="372"/>
      <c r="F145" s="372"/>
      <c r="G145" s="304"/>
      <c r="H145" s="353"/>
      <c r="I145" s="353"/>
      <c r="J145" s="353"/>
      <c r="K145" s="353"/>
      <c r="L145" s="353"/>
      <c r="M145" s="353"/>
      <c r="N145" s="353"/>
      <c r="O145" s="353"/>
      <c r="P145" s="304"/>
      <c r="Q145" s="304"/>
      <c r="R145" s="304"/>
      <c r="S145" s="304"/>
      <c r="T145" s="304"/>
    </row>
    <row r="146" spans="1:20" ht="12.75">
      <c r="A146" s="157" t="s">
        <v>382</v>
      </c>
      <c r="B146" s="541"/>
      <c r="C146" s="363"/>
      <c r="D146" s="373"/>
      <c r="E146" s="374"/>
      <c r="F146" s="374"/>
      <c r="G146" s="383"/>
      <c r="H146" s="354"/>
      <c r="I146" s="354"/>
      <c r="J146" s="354"/>
      <c r="K146" s="354"/>
      <c r="L146" s="354"/>
      <c r="M146" s="354"/>
      <c r="N146" s="354"/>
      <c r="O146" s="354"/>
      <c r="P146" s="383"/>
      <c r="Q146" s="383"/>
      <c r="R146" s="383"/>
      <c r="S146" s="383"/>
      <c r="T146" s="383"/>
    </row>
    <row r="147" spans="1:20" ht="12.75">
      <c r="A147" s="156" t="s">
        <v>186</v>
      </c>
      <c r="B147" s="546">
        <v>25</v>
      </c>
      <c r="C147" s="362" t="s">
        <v>720</v>
      </c>
      <c r="D147" s="361">
        <v>364.92</v>
      </c>
      <c r="E147" s="372" t="s">
        <v>721</v>
      </c>
      <c r="F147" s="382" t="str">
        <f aca="true" t="shared" si="72" ref="F147:F181">IF($M147&lt;0.00001226,"gering",IF($M147&lt;0.04087,"mittel","hoch"))</f>
        <v>mittel</v>
      </c>
      <c r="G147" s="304">
        <v>5.024</v>
      </c>
      <c r="H147" s="353">
        <v>0.0161</v>
      </c>
      <c r="I147" s="353"/>
      <c r="J147" s="353">
        <f aca="true" t="shared" si="73" ref="J147:J181">$H147/(EXP(-$I147/8.314*(1/298.15-1/(B147+273.15))))</f>
        <v>0.0161</v>
      </c>
      <c r="K147" s="353">
        <v>0.017</v>
      </c>
      <c r="L147" s="353">
        <v>4.4E-05</v>
      </c>
      <c r="M147" s="353">
        <f aca="true" t="shared" si="74" ref="M147:M181">$L147/(0.000082057834*298.15)</f>
        <v>0.0017984477036762062</v>
      </c>
      <c r="N147" s="353"/>
      <c r="O147" s="353">
        <f aca="true" t="shared" si="75" ref="O147:O181">$M147*EXP($N147*(1/298.15-1/(273.15+$B147)))</f>
        <v>0.0017984477036762062</v>
      </c>
      <c r="P147" s="304">
        <f aca="true" t="shared" si="76" ref="P147:P181">0.001*($B147+273.15)^1.75*SQRT((28.97+$D147)/(28.97*$D147))/(1*(20.1^(1/3)+($Q147)^(1/3))^2)/10000*86400*365</f>
        <v>141.09897249624075</v>
      </c>
      <c r="Q147" s="304">
        <f aca="true" t="shared" si="77" ref="Q147:Q181">0.9*$R147</f>
        <v>326.77983825443505</v>
      </c>
      <c r="R147" s="304">
        <f aca="true" t="shared" si="78" ref="R147:R181">(13.26*0.00001/(0.8904^1.14*$S147/(0.0001*86400*365)))^(1/0.589)</f>
        <v>363.0887091715945</v>
      </c>
      <c r="S147" s="304">
        <f aca="true" t="shared" si="79" ref="S147:S181">0.00000000000003595*298.15/(0.001*$D147^0.53)*3600*24*365</f>
        <v>0.014824346320826983</v>
      </c>
      <c r="T147" s="304">
        <f aca="true" t="shared" si="80" ref="T147:T181">0.00000000000003595*($B147+273.15)/(0.001*$D147^0.53)*3600*24*365</f>
        <v>0.014824346320826983</v>
      </c>
    </row>
    <row r="148" spans="1:20" ht="12.75">
      <c r="A148" s="156" t="s">
        <v>187</v>
      </c>
      <c r="B148" s="546">
        <v>25</v>
      </c>
      <c r="C148" s="362" t="s">
        <v>722</v>
      </c>
      <c r="D148" s="361">
        <v>354.49</v>
      </c>
      <c r="E148" s="372" t="s">
        <v>723</v>
      </c>
      <c r="F148" s="382" t="str">
        <f t="shared" si="72"/>
        <v>mittel</v>
      </c>
      <c r="G148" s="304">
        <v>5.343</v>
      </c>
      <c r="H148" s="353">
        <v>1.07E-06</v>
      </c>
      <c r="I148" s="353"/>
      <c r="J148" s="353">
        <f t="shared" si="73"/>
        <v>1.07E-06</v>
      </c>
      <c r="K148" s="353">
        <v>0.0055</v>
      </c>
      <c r="L148" s="353">
        <v>8.32E-06</v>
      </c>
      <c r="M148" s="353">
        <f t="shared" si="74"/>
        <v>0.0003400701112405917</v>
      </c>
      <c r="N148" s="353"/>
      <c r="O148" s="353">
        <f t="shared" si="75"/>
        <v>0.0003400701112405917</v>
      </c>
      <c r="P148" s="304">
        <f t="shared" si="76"/>
        <v>143.02211160400273</v>
      </c>
      <c r="Q148" s="304">
        <f t="shared" si="77"/>
        <v>318.3633615098284</v>
      </c>
      <c r="R148" s="304">
        <f t="shared" si="78"/>
        <v>353.73706834425377</v>
      </c>
      <c r="S148" s="304">
        <f t="shared" si="79"/>
        <v>0.015053940717952033</v>
      </c>
      <c r="T148" s="304">
        <f t="shared" si="80"/>
        <v>0.015053940717952033</v>
      </c>
    </row>
    <row r="149" spans="1:20" ht="12.75">
      <c r="A149" s="156" t="s">
        <v>724</v>
      </c>
      <c r="B149" s="546">
        <v>25</v>
      </c>
      <c r="C149" s="362" t="s">
        <v>725</v>
      </c>
      <c r="D149" s="361">
        <v>290.83</v>
      </c>
      <c r="E149" s="372" t="s">
        <v>726</v>
      </c>
      <c r="F149" s="382" t="str">
        <f t="shared" si="72"/>
        <v>mittel</v>
      </c>
      <c r="G149" s="304">
        <v>3.529</v>
      </c>
      <c r="H149" s="353">
        <v>0.000258</v>
      </c>
      <c r="I149" s="353"/>
      <c r="J149" s="353">
        <f t="shared" si="73"/>
        <v>0.000258</v>
      </c>
      <c r="K149" s="353">
        <v>10</v>
      </c>
      <c r="L149" s="353">
        <v>5.14E-06</v>
      </c>
      <c r="M149" s="353">
        <f t="shared" si="74"/>
        <v>0.00021009139083853862</v>
      </c>
      <c r="N149" s="353"/>
      <c r="O149" s="353">
        <f t="shared" si="75"/>
        <v>0.00021009139083853862</v>
      </c>
      <c r="P149" s="304">
        <f t="shared" si="76"/>
        <v>156.867543522715</v>
      </c>
      <c r="Q149" s="304">
        <f t="shared" si="77"/>
        <v>266.4215619152208</v>
      </c>
      <c r="R149" s="304">
        <f t="shared" si="78"/>
        <v>296.02395768357866</v>
      </c>
      <c r="S149" s="304">
        <f t="shared" si="79"/>
        <v>0.016719047729064348</v>
      </c>
      <c r="T149" s="304">
        <f t="shared" si="80"/>
        <v>0.016719047729064348</v>
      </c>
    </row>
    <row r="150" spans="1:20" ht="12.75">
      <c r="A150" s="156" t="s">
        <v>460</v>
      </c>
      <c r="B150" s="546">
        <v>25</v>
      </c>
      <c r="C150" s="362" t="s">
        <v>735</v>
      </c>
      <c r="D150" s="361">
        <v>317.32</v>
      </c>
      <c r="E150" s="372" t="s">
        <v>727</v>
      </c>
      <c r="F150" s="382" t="str">
        <f t="shared" si="72"/>
        <v>gering</v>
      </c>
      <c r="G150" s="304">
        <v>1.843</v>
      </c>
      <c r="H150" s="353">
        <v>4.77E-06</v>
      </c>
      <c r="I150" s="353"/>
      <c r="J150" s="353">
        <f t="shared" si="73"/>
        <v>4.77E-06</v>
      </c>
      <c r="K150" s="353">
        <v>20.9</v>
      </c>
      <c r="L150" s="353">
        <v>2.39E-08</v>
      </c>
      <c r="M150" s="353">
        <f t="shared" si="74"/>
        <v>9.768840935877573E-07</v>
      </c>
      <c r="N150" s="353"/>
      <c r="O150" s="353">
        <f t="shared" si="75"/>
        <v>9.768840935877573E-07</v>
      </c>
      <c r="P150" s="304">
        <f t="shared" si="76"/>
        <v>150.61151036260364</v>
      </c>
      <c r="Q150" s="304">
        <f t="shared" si="77"/>
        <v>288.16110483102614</v>
      </c>
      <c r="R150" s="304">
        <f t="shared" si="78"/>
        <v>320.1790053678068</v>
      </c>
      <c r="S150" s="304">
        <f t="shared" si="79"/>
        <v>0.015964181957240205</v>
      </c>
      <c r="T150" s="304">
        <f t="shared" si="80"/>
        <v>0.015964181957240205</v>
      </c>
    </row>
    <row r="151" spans="1:20" ht="12.75">
      <c r="A151" s="156" t="s">
        <v>388</v>
      </c>
      <c r="B151" s="546">
        <v>25</v>
      </c>
      <c r="C151" s="362" t="s">
        <v>728</v>
      </c>
      <c r="D151" s="361">
        <v>220.98</v>
      </c>
      <c r="E151" s="372" t="s">
        <v>729</v>
      </c>
      <c r="F151" s="382" t="str">
        <f t="shared" si="72"/>
        <v>mittel</v>
      </c>
      <c r="G151" s="304">
        <v>1.604</v>
      </c>
      <c r="H151" s="353">
        <v>0.0158</v>
      </c>
      <c r="I151" s="353"/>
      <c r="J151" s="353">
        <f t="shared" si="73"/>
        <v>0.0158</v>
      </c>
      <c r="K151" s="353">
        <v>8000</v>
      </c>
      <c r="L151" s="353">
        <v>5.74E-07</v>
      </c>
      <c r="M151" s="353">
        <f t="shared" si="74"/>
        <v>2.3461567770685055E-05</v>
      </c>
      <c r="N151" s="353"/>
      <c r="O151" s="353">
        <f t="shared" si="75"/>
        <v>2.3461567770685055E-05</v>
      </c>
      <c r="P151" s="304">
        <f t="shared" si="76"/>
        <v>178.37918723776497</v>
      </c>
      <c r="Q151" s="304">
        <f t="shared" si="77"/>
        <v>208.08080135553305</v>
      </c>
      <c r="R151" s="304">
        <f t="shared" si="78"/>
        <v>231.2008903950367</v>
      </c>
      <c r="S151" s="304">
        <f t="shared" si="79"/>
        <v>0.019338965633683237</v>
      </c>
      <c r="T151" s="304">
        <f t="shared" si="80"/>
        <v>0.019338965633683237</v>
      </c>
    </row>
    <row r="152" spans="1:20" ht="12.75">
      <c r="A152" s="156" t="s">
        <v>461</v>
      </c>
      <c r="B152" s="546">
        <v>25</v>
      </c>
      <c r="C152" s="362" t="s">
        <v>730</v>
      </c>
      <c r="D152" s="361">
        <v>380.91</v>
      </c>
      <c r="E152" s="372" t="s">
        <v>731</v>
      </c>
      <c r="F152" s="382" t="str">
        <f t="shared" si="72"/>
        <v>mittel</v>
      </c>
      <c r="G152" s="304">
        <v>4.025</v>
      </c>
      <c r="H152" s="353">
        <v>0.000292</v>
      </c>
      <c r="I152" s="353"/>
      <c r="J152" s="353">
        <f t="shared" si="73"/>
        <v>0.000292</v>
      </c>
      <c r="K152" s="353">
        <v>0.25</v>
      </c>
      <c r="L152" s="353">
        <v>1E-05</v>
      </c>
      <c r="M152" s="353">
        <f t="shared" si="74"/>
        <v>0.0004087381144718651</v>
      </c>
      <c r="N152" s="353"/>
      <c r="O152" s="353">
        <f t="shared" si="75"/>
        <v>0.0004087381144718651</v>
      </c>
      <c r="P152" s="304">
        <f t="shared" si="76"/>
        <v>138.3016090681344</v>
      </c>
      <c r="Q152" s="304">
        <f t="shared" si="77"/>
        <v>339.63647804261694</v>
      </c>
      <c r="R152" s="304">
        <f t="shared" si="78"/>
        <v>377.3738644917966</v>
      </c>
      <c r="S152" s="304">
        <f t="shared" si="79"/>
        <v>0.01449120355539392</v>
      </c>
      <c r="T152" s="304">
        <f t="shared" si="80"/>
        <v>0.01449120355539392</v>
      </c>
    </row>
    <row r="153" spans="1:20" ht="12.75">
      <c r="A153" s="156" t="s">
        <v>462</v>
      </c>
      <c r="B153" s="546">
        <v>25</v>
      </c>
      <c r="C153" s="362" t="s">
        <v>732</v>
      </c>
      <c r="D153" s="361">
        <v>406.92</v>
      </c>
      <c r="E153" s="372" t="s">
        <v>733</v>
      </c>
      <c r="F153" s="382" t="str">
        <f t="shared" si="72"/>
        <v>mittel</v>
      </c>
      <c r="G153" s="304">
        <v>4.342</v>
      </c>
      <c r="H153" s="353">
        <v>3.8E-06</v>
      </c>
      <c r="I153" s="353"/>
      <c r="J153" s="353">
        <f t="shared" si="73"/>
        <v>3.8E-06</v>
      </c>
      <c r="K153" s="353">
        <v>0.51</v>
      </c>
      <c r="L153" s="353">
        <v>6.5E-05</v>
      </c>
      <c r="M153" s="353">
        <f t="shared" si="74"/>
        <v>0.0026567977440671224</v>
      </c>
      <c r="N153" s="353"/>
      <c r="O153" s="353">
        <f t="shared" si="75"/>
        <v>0.0026567977440671224</v>
      </c>
      <c r="P153" s="304">
        <f t="shared" si="76"/>
        <v>134.09932724653305</v>
      </c>
      <c r="Q153" s="304">
        <f t="shared" si="77"/>
        <v>360.4354126293981</v>
      </c>
      <c r="R153" s="304">
        <f t="shared" si="78"/>
        <v>400.48379181044237</v>
      </c>
      <c r="S153" s="304">
        <f t="shared" si="79"/>
        <v>0.013992667886387086</v>
      </c>
      <c r="T153" s="304">
        <f t="shared" si="80"/>
        <v>0.013992667886387086</v>
      </c>
    </row>
    <row r="154" spans="1:20" ht="12.75">
      <c r="A154" s="156" t="s">
        <v>463</v>
      </c>
      <c r="B154" s="546">
        <v>25</v>
      </c>
      <c r="C154" s="362" t="s">
        <v>734</v>
      </c>
      <c r="D154" s="361">
        <v>292.29</v>
      </c>
      <c r="E154" s="372" t="s">
        <v>736</v>
      </c>
      <c r="F154" s="382" t="str">
        <f t="shared" si="72"/>
        <v>mittel</v>
      </c>
      <c r="G154" s="304">
        <v>2.305</v>
      </c>
      <c r="H154" s="353">
        <v>8E-05</v>
      </c>
      <c r="I154" s="353"/>
      <c r="J154" s="353">
        <f t="shared" si="73"/>
        <v>8E-05</v>
      </c>
      <c r="K154" s="353">
        <v>40</v>
      </c>
      <c r="L154" s="353">
        <v>9.62E-07</v>
      </c>
      <c r="M154" s="353">
        <f t="shared" si="74"/>
        <v>3.932060661219342E-05</v>
      </c>
      <c r="N154" s="353"/>
      <c r="O154" s="353">
        <f t="shared" si="75"/>
        <v>3.932060661219342E-05</v>
      </c>
      <c r="P154" s="304">
        <f t="shared" si="76"/>
        <v>156.5011454454617</v>
      </c>
      <c r="Q154" s="304">
        <f t="shared" si="77"/>
        <v>267.6247529540129</v>
      </c>
      <c r="R154" s="304">
        <f t="shared" si="78"/>
        <v>297.36083661556984</v>
      </c>
      <c r="S154" s="304">
        <f t="shared" si="79"/>
        <v>0.016674734127696655</v>
      </c>
      <c r="T154" s="304">
        <f t="shared" si="80"/>
        <v>0.016674734127696655</v>
      </c>
    </row>
    <row r="155" spans="1:20" ht="12.75">
      <c r="A155" s="156" t="s">
        <v>494</v>
      </c>
      <c r="B155" s="546">
        <v>25</v>
      </c>
      <c r="C155" s="362" t="s">
        <v>737</v>
      </c>
      <c r="D155" s="361">
        <v>277.23</v>
      </c>
      <c r="E155" s="372" t="s">
        <v>738</v>
      </c>
      <c r="F155" s="382" t="str">
        <f t="shared" si="72"/>
        <v>mittel</v>
      </c>
      <c r="G155" s="304">
        <v>2.937</v>
      </c>
      <c r="H155" s="353">
        <v>5.4E-05</v>
      </c>
      <c r="I155" s="353"/>
      <c r="J155" s="353">
        <f t="shared" si="73"/>
        <v>5.4E-05</v>
      </c>
      <c r="K155" s="353">
        <v>38</v>
      </c>
      <c r="L155" s="353">
        <v>9.3E-07</v>
      </c>
      <c r="M155" s="353">
        <f t="shared" si="74"/>
        <v>3.801264464588345E-05</v>
      </c>
      <c r="N155" s="353"/>
      <c r="O155" s="353">
        <f t="shared" si="75"/>
        <v>3.801264464588345E-05</v>
      </c>
      <c r="P155" s="304">
        <f t="shared" si="76"/>
        <v>160.41615687778068</v>
      </c>
      <c r="Q155" s="304">
        <f t="shared" si="77"/>
        <v>255.18422333468865</v>
      </c>
      <c r="R155" s="304">
        <f t="shared" si="78"/>
        <v>283.5380259274318</v>
      </c>
      <c r="S155" s="304">
        <f t="shared" si="79"/>
        <v>0.017148849782437293</v>
      </c>
      <c r="T155" s="304">
        <f t="shared" si="80"/>
        <v>0.017148849782437293</v>
      </c>
    </row>
    <row r="156" spans="1:20" ht="12.75">
      <c r="A156" s="156" t="s">
        <v>464</v>
      </c>
      <c r="B156" s="546">
        <v>25</v>
      </c>
      <c r="C156" s="362" t="s">
        <v>739</v>
      </c>
      <c r="D156" s="361">
        <v>278.32</v>
      </c>
      <c r="E156" s="372" t="s">
        <v>740</v>
      </c>
      <c r="F156" s="382" t="str">
        <f t="shared" si="72"/>
        <v>mittel</v>
      </c>
      <c r="G156" s="304">
        <v>3.37</v>
      </c>
      <c r="H156" s="353">
        <v>1.05E-05</v>
      </c>
      <c r="I156" s="353"/>
      <c r="J156" s="353">
        <f t="shared" si="73"/>
        <v>1.05E-05</v>
      </c>
      <c r="K156" s="353">
        <v>7.5</v>
      </c>
      <c r="L156" s="353">
        <v>1.46E-06</v>
      </c>
      <c r="M156" s="353">
        <f t="shared" si="74"/>
        <v>5.9675764712892294E-05</v>
      </c>
      <c r="N156" s="353"/>
      <c r="O156" s="353">
        <f t="shared" si="75"/>
        <v>5.9675764712892294E-05</v>
      </c>
      <c r="P156" s="304">
        <f t="shared" si="76"/>
        <v>160.12233929873506</v>
      </c>
      <c r="Q156" s="304">
        <f t="shared" si="77"/>
        <v>256.08686476092254</v>
      </c>
      <c r="R156" s="304">
        <f t="shared" si="78"/>
        <v>284.5409608454695</v>
      </c>
      <c r="S156" s="304">
        <f t="shared" si="79"/>
        <v>0.01711322163569609</v>
      </c>
      <c r="T156" s="304">
        <f t="shared" si="80"/>
        <v>0.01711322163569609</v>
      </c>
    </row>
    <row r="157" spans="1:20" ht="12.75">
      <c r="A157" s="156" t="s">
        <v>465</v>
      </c>
      <c r="B157" s="546">
        <v>25</v>
      </c>
      <c r="C157" s="362" t="s">
        <v>742</v>
      </c>
      <c r="D157" s="361">
        <v>291.26</v>
      </c>
      <c r="E157" s="372" t="s">
        <v>743</v>
      </c>
      <c r="F157" s="382" t="str">
        <f t="shared" si="72"/>
        <v>gering</v>
      </c>
      <c r="G157" s="304">
        <v>3.25</v>
      </c>
      <c r="H157" s="353">
        <v>6.68E-06</v>
      </c>
      <c r="I157" s="353"/>
      <c r="J157" s="353">
        <f t="shared" si="73"/>
        <v>6.68E-06</v>
      </c>
      <c r="K157" s="353">
        <v>11</v>
      </c>
      <c r="L157" s="353">
        <v>2.98E-07</v>
      </c>
      <c r="M157" s="353">
        <f t="shared" si="74"/>
        <v>1.2180395811261578E-05</v>
      </c>
      <c r="N157" s="353"/>
      <c r="O157" s="353">
        <f t="shared" si="75"/>
        <v>1.2180395811261578E-05</v>
      </c>
      <c r="P157" s="304">
        <f t="shared" si="76"/>
        <v>156.75935044578077</v>
      </c>
      <c r="Q157" s="304">
        <f t="shared" si="77"/>
        <v>266.7759891227944</v>
      </c>
      <c r="R157" s="304">
        <f t="shared" si="78"/>
        <v>296.41776569199374</v>
      </c>
      <c r="S157" s="304">
        <f t="shared" si="79"/>
        <v>0.01670596116079755</v>
      </c>
      <c r="T157" s="304">
        <f t="shared" si="80"/>
        <v>0.01670596116079755</v>
      </c>
    </row>
    <row r="158" spans="1:20" ht="12.75">
      <c r="A158" s="156" t="s">
        <v>468</v>
      </c>
      <c r="B158" s="546">
        <v>25</v>
      </c>
      <c r="C158" s="362" t="s">
        <v>744</v>
      </c>
      <c r="D158" s="361">
        <v>263.21</v>
      </c>
      <c r="E158" s="372" t="s">
        <v>745</v>
      </c>
      <c r="F158" s="382" t="str">
        <f t="shared" si="72"/>
        <v>gering</v>
      </c>
      <c r="G158" s="304">
        <v>2.718</v>
      </c>
      <c r="H158" s="353">
        <v>4.45E-06</v>
      </c>
      <c r="I158" s="353"/>
      <c r="J158" s="353">
        <f t="shared" si="73"/>
        <v>4.45E-06</v>
      </c>
      <c r="K158" s="353">
        <v>37.7</v>
      </c>
      <c r="L158" s="353">
        <v>1E-07</v>
      </c>
      <c r="M158" s="353">
        <f t="shared" si="74"/>
        <v>4.08738114471865E-06</v>
      </c>
      <c r="N158" s="353"/>
      <c r="O158" s="353">
        <f t="shared" si="75"/>
        <v>4.08738114471865E-06</v>
      </c>
      <c r="P158" s="304">
        <f t="shared" si="76"/>
        <v>164.35429010775132</v>
      </c>
      <c r="Q158" s="304">
        <f t="shared" si="77"/>
        <v>243.5418448010654</v>
      </c>
      <c r="R158" s="304">
        <f t="shared" si="78"/>
        <v>270.60204977896154</v>
      </c>
      <c r="S158" s="304">
        <f t="shared" si="79"/>
        <v>0.01762706683504555</v>
      </c>
      <c r="T158" s="304">
        <f t="shared" si="80"/>
        <v>0.01762706683504555</v>
      </c>
    </row>
    <row r="159" spans="1:20" ht="12.75">
      <c r="A159" s="156" t="s">
        <v>387</v>
      </c>
      <c r="B159" s="546">
        <v>25</v>
      </c>
      <c r="C159" s="362" t="s">
        <v>746</v>
      </c>
      <c r="D159" s="361">
        <v>409.78</v>
      </c>
      <c r="E159" s="372" t="s">
        <v>747</v>
      </c>
      <c r="F159" s="382" t="str">
        <f t="shared" si="72"/>
        <v>mittel</v>
      </c>
      <c r="G159" s="304">
        <v>4.938</v>
      </c>
      <c r="H159" s="353">
        <v>6.31E-05</v>
      </c>
      <c r="I159" s="353"/>
      <c r="J159" s="353">
        <f t="shared" si="73"/>
        <v>6.31E-05</v>
      </c>
      <c r="K159" s="353">
        <v>0.056</v>
      </c>
      <c r="L159" s="353">
        <v>4.86E-05</v>
      </c>
      <c r="M159" s="353">
        <f t="shared" si="74"/>
        <v>0.001986467236333264</v>
      </c>
      <c r="N159" s="353"/>
      <c r="O159" s="353">
        <f t="shared" si="75"/>
        <v>0.001986467236333264</v>
      </c>
      <c r="P159" s="304">
        <f t="shared" si="76"/>
        <v>133.66114944690742</v>
      </c>
      <c r="Q159" s="304">
        <f t="shared" si="77"/>
        <v>362.7141407539554</v>
      </c>
      <c r="R159" s="304">
        <f t="shared" si="78"/>
        <v>403.01571194883934</v>
      </c>
      <c r="S159" s="304">
        <f t="shared" si="79"/>
        <v>0.013940823010709244</v>
      </c>
      <c r="T159" s="304">
        <f t="shared" si="80"/>
        <v>0.013940823010709244</v>
      </c>
    </row>
    <row r="160" spans="1:20" ht="12.75">
      <c r="A160" s="156" t="s">
        <v>466</v>
      </c>
      <c r="B160" s="546">
        <v>25</v>
      </c>
      <c r="C160" s="362" t="s">
        <v>748</v>
      </c>
      <c r="D160" s="361">
        <v>274.39</v>
      </c>
      <c r="E160" s="372" t="s">
        <v>749</v>
      </c>
      <c r="F160" s="382" t="str">
        <f t="shared" si="72"/>
        <v>mittel</v>
      </c>
      <c r="G160" s="304">
        <v>2.913</v>
      </c>
      <c r="H160" s="353">
        <v>9.75E-05</v>
      </c>
      <c r="I160" s="353"/>
      <c r="J160" s="353">
        <f t="shared" si="73"/>
        <v>9.75E-05</v>
      </c>
      <c r="K160" s="353">
        <v>16.3</v>
      </c>
      <c r="L160" s="353">
        <v>2.16E-06</v>
      </c>
      <c r="M160" s="353">
        <f t="shared" si="74"/>
        <v>8.828743272592285E-05</v>
      </c>
      <c r="N160" s="353"/>
      <c r="O160" s="353">
        <f t="shared" si="75"/>
        <v>8.828743272592285E-05</v>
      </c>
      <c r="P160" s="304">
        <f t="shared" si="76"/>
        <v>161.1897862416536</v>
      </c>
      <c r="Q160" s="304">
        <f t="shared" si="77"/>
        <v>252.83071293100667</v>
      </c>
      <c r="R160" s="304">
        <f t="shared" si="78"/>
        <v>280.9230143677852</v>
      </c>
      <c r="S160" s="304">
        <f t="shared" si="79"/>
        <v>0.017242694242347093</v>
      </c>
      <c r="T160" s="304">
        <f t="shared" si="80"/>
        <v>0.017242694242347093</v>
      </c>
    </row>
    <row r="161" spans="1:20" ht="12.75">
      <c r="A161" s="156" t="s">
        <v>467</v>
      </c>
      <c r="B161" s="546">
        <v>25</v>
      </c>
      <c r="C161" s="362" t="s">
        <v>750</v>
      </c>
      <c r="D161" s="361">
        <v>330.35</v>
      </c>
      <c r="E161" s="372" t="s">
        <v>751</v>
      </c>
      <c r="F161" s="382" t="str">
        <f t="shared" si="72"/>
        <v>gering</v>
      </c>
      <c r="G161" s="304">
        <v>1.484</v>
      </c>
      <c r="H161" s="353">
        <v>3.38E-06</v>
      </c>
      <c r="I161" s="353"/>
      <c r="J161" s="353">
        <f t="shared" si="73"/>
        <v>3.38E-06</v>
      </c>
      <c r="K161" s="353">
        <v>143</v>
      </c>
      <c r="L161" s="353">
        <v>4.89E-09</v>
      </c>
      <c r="M161" s="353">
        <f t="shared" si="74"/>
        <v>1.9987293797674203E-07</v>
      </c>
      <c r="N161" s="353"/>
      <c r="O161" s="353">
        <f t="shared" si="75"/>
        <v>1.9987293797674203E-07</v>
      </c>
      <c r="P161" s="304">
        <f t="shared" si="76"/>
        <v>147.80886880427943</v>
      </c>
      <c r="Q161" s="304">
        <f t="shared" si="77"/>
        <v>298.78691375352804</v>
      </c>
      <c r="R161" s="304">
        <f t="shared" si="78"/>
        <v>331.98545972614227</v>
      </c>
      <c r="S161" s="304">
        <f t="shared" si="79"/>
        <v>0.015627299315251815</v>
      </c>
      <c r="T161" s="304">
        <f t="shared" si="80"/>
        <v>0.015627299315251815</v>
      </c>
    </row>
    <row r="162" spans="1:20" ht="12.75">
      <c r="A162" s="156" t="s">
        <v>469</v>
      </c>
      <c r="B162" s="546">
        <v>25</v>
      </c>
      <c r="C162" s="362" t="s">
        <v>752</v>
      </c>
      <c r="D162" s="361">
        <v>224.15</v>
      </c>
      <c r="E162" s="372" t="s">
        <v>753</v>
      </c>
      <c r="F162" s="382" t="str">
        <f t="shared" si="72"/>
        <v>gering</v>
      </c>
      <c r="G162" s="304">
        <v>2.366</v>
      </c>
      <c r="H162" s="353">
        <v>0.000128</v>
      </c>
      <c r="I162" s="353"/>
      <c r="J162" s="353">
        <f t="shared" si="73"/>
        <v>0.000128</v>
      </c>
      <c r="K162" s="353">
        <v>1000000</v>
      </c>
      <c r="L162" s="353">
        <v>6.39E-11</v>
      </c>
      <c r="M162" s="353">
        <f t="shared" si="74"/>
        <v>2.6118365514752176E-09</v>
      </c>
      <c r="N162" s="353"/>
      <c r="O162" s="353">
        <f t="shared" si="75"/>
        <v>2.6118365514752176E-09</v>
      </c>
      <c r="P162" s="304">
        <f t="shared" si="76"/>
        <v>177.19138129001507</v>
      </c>
      <c r="Q162" s="304">
        <f t="shared" si="77"/>
        <v>210.76483754420713</v>
      </c>
      <c r="R162" s="304">
        <f t="shared" si="78"/>
        <v>234.1831528268968</v>
      </c>
      <c r="S162" s="304">
        <f t="shared" si="79"/>
        <v>0.019193526711549724</v>
      </c>
      <c r="T162" s="304">
        <f t="shared" si="80"/>
        <v>0.019193526711549724</v>
      </c>
    </row>
    <row r="163" spans="1:20" ht="12.75">
      <c r="A163" s="156" t="s">
        <v>470</v>
      </c>
      <c r="B163" s="546">
        <v>25</v>
      </c>
      <c r="C163" s="362" t="s">
        <v>754</v>
      </c>
      <c r="D163" s="361">
        <v>298.3</v>
      </c>
      <c r="E163" s="372" t="s">
        <v>755</v>
      </c>
      <c r="F163" s="382" t="str">
        <f t="shared" si="72"/>
        <v>mittel</v>
      </c>
      <c r="G163" s="304">
        <v>3.502</v>
      </c>
      <c r="H163" s="353">
        <v>1.58E-05</v>
      </c>
      <c r="I163" s="353"/>
      <c r="J163" s="353">
        <f t="shared" si="73"/>
        <v>1.58E-05</v>
      </c>
      <c r="K163" s="353">
        <v>4.1</v>
      </c>
      <c r="L163" s="353">
        <v>4.08E-06</v>
      </c>
      <c r="M163" s="353">
        <f t="shared" si="74"/>
        <v>0.00016676515070452095</v>
      </c>
      <c r="N163" s="353"/>
      <c r="O163" s="353">
        <f t="shared" si="75"/>
        <v>0.00016676515070452095</v>
      </c>
      <c r="P163" s="304">
        <f t="shared" si="76"/>
        <v>155.0208393220385</v>
      </c>
      <c r="Q163" s="304">
        <f t="shared" si="77"/>
        <v>272.57131233831507</v>
      </c>
      <c r="R163" s="304">
        <f t="shared" si="78"/>
        <v>302.85701370923897</v>
      </c>
      <c r="S163" s="304">
        <f t="shared" si="79"/>
        <v>0.01649582691471158</v>
      </c>
      <c r="T163" s="304">
        <f t="shared" si="80"/>
        <v>0.01649582691471158</v>
      </c>
    </row>
    <row r="164" spans="1:20" ht="12.75">
      <c r="A164" s="156" t="s">
        <v>471</v>
      </c>
      <c r="B164" s="546">
        <v>25</v>
      </c>
      <c r="C164" s="362" t="s">
        <v>756</v>
      </c>
      <c r="D164" s="361">
        <v>313.31</v>
      </c>
      <c r="E164" s="372" t="s">
        <v>757</v>
      </c>
      <c r="F164" s="382" t="str">
        <f t="shared" si="72"/>
        <v>gering</v>
      </c>
      <c r="G164" s="304">
        <v>4.5</v>
      </c>
      <c r="H164" s="353">
        <v>2.9E-06</v>
      </c>
      <c r="I164" s="353"/>
      <c r="J164" s="353">
        <f t="shared" si="73"/>
        <v>2.9E-06</v>
      </c>
      <c r="K164" s="353">
        <v>39</v>
      </c>
      <c r="L164" s="353">
        <v>4.84E-08</v>
      </c>
      <c r="M164" s="353">
        <f t="shared" si="74"/>
        <v>1.978292474043827E-06</v>
      </c>
      <c r="N164" s="353"/>
      <c r="O164" s="353">
        <f t="shared" si="75"/>
        <v>1.978292474043827E-06</v>
      </c>
      <c r="P164" s="304">
        <f t="shared" si="76"/>
        <v>151.50827524925492</v>
      </c>
      <c r="Q164" s="304">
        <f t="shared" si="77"/>
        <v>284.8822745766106</v>
      </c>
      <c r="R164" s="304">
        <f t="shared" si="78"/>
        <v>316.53586064067844</v>
      </c>
      <c r="S164" s="304">
        <f t="shared" si="79"/>
        <v>0.016072149346710682</v>
      </c>
      <c r="T164" s="304">
        <f t="shared" si="80"/>
        <v>0.016072149346710682</v>
      </c>
    </row>
    <row r="165" spans="1:20" ht="12.75">
      <c r="A165" s="156" t="s">
        <v>472</v>
      </c>
      <c r="B165" s="546">
        <v>25</v>
      </c>
      <c r="C165" s="362" t="s">
        <v>758</v>
      </c>
      <c r="D165" s="361">
        <v>335.29</v>
      </c>
      <c r="E165" s="372" t="s">
        <v>759</v>
      </c>
      <c r="F165" s="382" t="str">
        <f t="shared" si="72"/>
        <v>mittel</v>
      </c>
      <c r="G165" s="304">
        <v>3.986</v>
      </c>
      <c r="H165" s="353">
        <v>7.91E-05</v>
      </c>
      <c r="I165" s="353"/>
      <c r="J165" s="353">
        <f t="shared" si="73"/>
        <v>7.91E-05</v>
      </c>
      <c r="K165" s="353">
        <v>0.184</v>
      </c>
      <c r="L165" s="353">
        <v>0.000103</v>
      </c>
      <c r="M165" s="353">
        <f t="shared" si="74"/>
        <v>0.0042100025790602095</v>
      </c>
      <c r="N165" s="353"/>
      <c r="O165" s="353">
        <f t="shared" si="75"/>
        <v>0.0042100025790602095</v>
      </c>
      <c r="P165" s="304">
        <f t="shared" si="76"/>
        <v>146.7883589990624</v>
      </c>
      <c r="Q165" s="304">
        <f t="shared" si="77"/>
        <v>302.80437008250226</v>
      </c>
      <c r="R165" s="304">
        <f t="shared" si="78"/>
        <v>336.44930009166916</v>
      </c>
      <c r="S165" s="304">
        <f t="shared" si="79"/>
        <v>0.015504843853771476</v>
      </c>
      <c r="T165" s="304">
        <f t="shared" si="80"/>
        <v>0.015504843853771476</v>
      </c>
    </row>
    <row r="166" spans="1:20" ht="12.75">
      <c r="A166" s="156" t="s">
        <v>473</v>
      </c>
      <c r="B166" s="546">
        <v>25</v>
      </c>
      <c r="C166" s="362" t="s">
        <v>760</v>
      </c>
      <c r="D166" s="361">
        <v>373.32</v>
      </c>
      <c r="E166" s="372" t="s">
        <v>761</v>
      </c>
      <c r="F166" s="382" t="str">
        <f t="shared" si="72"/>
        <v>mittel</v>
      </c>
      <c r="G166" s="304">
        <v>4.719</v>
      </c>
      <c r="H166" s="353">
        <v>0.00199</v>
      </c>
      <c r="I166" s="353"/>
      <c r="J166" s="353">
        <f t="shared" si="73"/>
        <v>0.00199</v>
      </c>
      <c r="K166" s="353">
        <v>0.18</v>
      </c>
      <c r="L166" s="353">
        <v>0.000294</v>
      </c>
      <c r="M166" s="353">
        <f t="shared" si="74"/>
        <v>0.012016900565472832</v>
      </c>
      <c r="N166" s="353"/>
      <c r="O166" s="353">
        <f t="shared" si="75"/>
        <v>0.012016900565472832</v>
      </c>
      <c r="P166" s="304">
        <f t="shared" si="76"/>
        <v>139.6076137738788</v>
      </c>
      <c r="Q166" s="304">
        <f t="shared" si="77"/>
        <v>333.5406780658234</v>
      </c>
      <c r="R166" s="304">
        <f t="shared" si="78"/>
        <v>370.6007534064704</v>
      </c>
      <c r="S166" s="304">
        <f t="shared" si="79"/>
        <v>0.014646614432445393</v>
      </c>
      <c r="T166" s="304">
        <f t="shared" si="80"/>
        <v>0.014646614432445393</v>
      </c>
    </row>
    <row r="167" spans="1:20" ht="12.75">
      <c r="A167" s="156" t="s">
        <v>474</v>
      </c>
      <c r="B167" s="546">
        <v>25</v>
      </c>
      <c r="C167" s="362" t="s">
        <v>832</v>
      </c>
      <c r="D167" s="361">
        <v>389.32</v>
      </c>
      <c r="E167" s="372" t="s">
        <v>833</v>
      </c>
      <c r="F167" s="382" t="str">
        <f t="shared" si="72"/>
        <v>mittel</v>
      </c>
      <c r="G167" s="304">
        <v>3.721</v>
      </c>
      <c r="H167" s="353">
        <v>0.000422</v>
      </c>
      <c r="I167" s="353"/>
      <c r="J167" s="353">
        <f t="shared" si="73"/>
        <v>0.000422</v>
      </c>
      <c r="K167" s="353">
        <v>0.2</v>
      </c>
      <c r="L167" s="353">
        <v>2.1E-05</v>
      </c>
      <c r="M167" s="353">
        <f t="shared" si="74"/>
        <v>0.0008583500403909165</v>
      </c>
      <c r="N167" s="353"/>
      <c r="O167" s="353">
        <f t="shared" si="75"/>
        <v>0.0008583500403909165</v>
      </c>
      <c r="P167" s="304">
        <f t="shared" si="76"/>
        <v>136.89815780075014</v>
      </c>
      <c r="Q167" s="304">
        <f t="shared" si="77"/>
        <v>346.37666371896</v>
      </c>
      <c r="R167" s="304">
        <f t="shared" si="78"/>
        <v>384.86295968773334</v>
      </c>
      <c r="S167" s="304">
        <f t="shared" si="79"/>
        <v>0.014324443426656673</v>
      </c>
      <c r="T167" s="304">
        <f t="shared" si="80"/>
        <v>0.014324443426656673</v>
      </c>
    </row>
    <row r="168" spans="1:20" ht="12.75">
      <c r="A168" s="156" t="s">
        <v>475</v>
      </c>
      <c r="B168" s="546">
        <v>25</v>
      </c>
      <c r="C168" s="362" t="s">
        <v>834</v>
      </c>
      <c r="D168" s="361">
        <v>257.44</v>
      </c>
      <c r="E168" s="372" t="s">
        <v>835</v>
      </c>
      <c r="F168" s="382" t="str">
        <f t="shared" si="72"/>
        <v>gering</v>
      </c>
      <c r="G168" s="304">
        <v>1.731</v>
      </c>
      <c r="H168" s="353">
        <v>2.55E-05</v>
      </c>
      <c r="I168" s="353"/>
      <c r="J168" s="353">
        <f t="shared" si="73"/>
        <v>2.55E-05</v>
      </c>
      <c r="K168" s="353">
        <v>120000</v>
      </c>
      <c r="L168" s="353">
        <v>1.7E-11</v>
      </c>
      <c r="M168" s="353">
        <f t="shared" si="74"/>
        <v>6.948547946021706E-10</v>
      </c>
      <c r="N168" s="353"/>
      <c r="O168" s="353">
        <f t="shared" si="75"/>
        <v>6.948547946021706E-10</v>
      </c>
      <c r="P168" s="304">
        <f t="shared" si="76"/>
        <v>166.06653643698843</v>
      </c>
      <c r="Q168" s="304">
        <f t="shared" si="77"/>
        <v>238.7324764907096</v>
      </c>
      <c r="R168" s="304">
        <f t="shared" si="78"/>
        <v>265.25830721189953</v>
      </c>
      <c r="S168" s="304">
        <f t="shared" si="79"/>
        <v>0.017835365803778022</v>
      </c>
      <c r="T168" s="304">
        <f t="shared" si="80"/>
        <v>0.017835365803778022</v>
      </c>
    </row>
    <row r="169" spans="1:20" ht="12.75">
      <c r="A169" s="156" t="s">
        <v>389</v>
      </c>
      <c r="B169" s="546">
        <v>25</v>
      </c>
      <c r="C169" s="362" t="s">
        <v>762</v>
      </c>
      <c r="D169" s="361">
        <v>187.63</v>
      </c>
      <c r="E169" s="372" t="s">
        <v>763</v>
      </c>
      <c r="F169" s="382" t="str">
        <f t="shared" si="72"/>
        <v>gering</v>
      </c>
      <c r="G169" s="304">
        <v>1.935</v>
      </c>
      <c r="H169" s="353">
        <v>0.00113</v>
      </c>
      <c r="I169" s="353"/>
      <c r="J169" s="353">
        <f t="shared" si="73"/>
        <v>0.00113</v>
      </c>
      <c r="K169" s="353">
        <v>3200</v>
      </c>
      <c r="L169" s="353">
        <v>8.883E-09</v>
      </c>
      <c r="M169" s="353">
        <f t="shared" si="74"/>
        <v>3.630820670853577E-07</v>
      </c>
      <c r="N169" s="353"/>
      <c r="O169" s="353">
        <f t="shared" si="75"/>
        <v>3.630820670853577E-07</v>
      </c>
      <c r="P169" s="304">
        <f t="shared" si="76"/>
        <v>192.6469435409079</v>
      </c>
      <c r="Q169" s="304">
        <f t="shared" si="77"/>
        <v>179.5967416047689</v>
      </c>
      <c r="R169" s="304">
        <f t="shared" si="78"/>
        <v>199.55193511640988</v>
      </c>
      <c r="S169" s="304">
        <f t="shared" si="79"/>
        <v>0.02109065694831688</v>
      </c>
      <c r="T169" s="304">
        <f t="shared" si="80"/>
        <v>0.02109065694831688</v>
      </c>
    </row>
    <row r="170" spans="1:20" ht="12.75">
      <c r="A170" s="156" t="s">
        <v>383</v>
      </c>
      <c r="B170" s="546">
        <v>25</v>
      </c>
      <c r="C170" s="362" t="s">
        <v>764</v>
      </c>
      <c r="D170" s="361">
        <v>215.69</v>
      </c>
      <c r="E170" s="372" t="s">
        <v>765</v>
      </c>
      <c r="F170" s="382" t="str">
        <f t="shared" si="72"/>
        <v>gering</v>
      </c>
      <c r="G170" s="304">
        <v>2.362</v>
      </c>
      <c r="H170" s="353">
        <v>8.41E-06</v>
      </c>
      <c r="I170" s="353"/>
      <c r="J170" s="353">
        <f t="shared" si="73"/>
        <v>8.41E-06</v>
      </c>
      <c r="K170" s="353">
        <v>34.7</v>
      </c>
      <c r="L170" s="353">
        <v>2.36E-09</v>
      </c>
      <c r="M170" s="353">
        <f t="shared" si="74"/>
        <v>9.646219501536016E-08</v>
      </c>
      <c r="N170" s="353"/>
      <c r="O170" s="353">
        <f t="shared" si="75"/>
        <v>9.646219501536016E-08</v>
      </c>
      <c r="P170" s="304">
        <f t="shared" si="76"/>
        <v>180.41920791284838</v>
      </c>
      <c r="Q170" s="304">
        <f t="shared" si="77"/>
        <v>203.59313760541363</v>
      </c>
      <c r="R170" s="304">
        <f t="shared" si="78"/>
        <v>226.21459733934847</v>
      </c>
      <c r="S170" s="304">
        <f t="shared" si="79"/>
        <v>0.019588916264980112</v>
      </c>
      <c r="T170" s="304">
        <f t="shared" si="80"/>
        <v>0.019588916264980112</v>
      </c>
    </row>
    <row r="171" spans="1:20" ht="12.75">
      <c r="A171" s="156" t="s">
        <v>385</v>
      </c>
      <c r="B171" s="546">
        <v>25</v>
      </c>
      <c r="C171" s="362" t="s">
        <v>766</v>
      </c>
      <c r="D171" s="361">
        <v>261.12</v>
      </c>
      <c r="E171" s="372" t="s">
        <v>767</v>
      </c>
      <c r="F171" s="382" t="str">
        <f t="shared" si="72"/>
        <v>gering</v>
      </c>
      <c r="G171" s="304">
        <v>2.017</v>
      </c>
      <c r="H171" s="353">
        <v>6.35E-06</v>
      </c>
      <c r="I171" s="353"/>
      <c r="J171" s="353">
        <f t="shared" si="73"/>
        <v>6.35E-06</v>
      </c>
      <c r="K171" s="353">
        <v>815</v>
      </c>
      <c r="L171" s="353">
        <v>1.05E-10</v>
      </c>
      <c r="M171" s="353">
        <f t="shared" si="74"/>
        <v>4.291750201954583E-09</v>
      </c>
      <c r="N171" s="353"/>
      <c r="O171" s="353">
        <f t="shared" si="75"/>
        <v>4.291750201954583E-09</v>
      </c>
      <c r="P171" s="304">
        <f t="shared" si="76"/>
        <v>164.9680149259932</v>
      </c>
      <c r="Q171" s="304">
        <f t="shared" si="77"/>
        <v>241.80103527472647</v>
      </c>
      <c r="R171" s="304">
        <f t="shared" si="78"/>
        <v>268.6678169719183</v>
      </c>
      <c r="S171" s="304">
        <f t="shared" si="79"/>
        <v>0.017701702707612867</v>
      </c>
      <c r="T171" s="304">
        <f t="shared" si="80"/>
        <v>0.017701702707612867</v>
      </c>
    </row>
    <row r="172" spans="1:20" ht="12.75">
      <c r="A172" s="156" t="s">
        <v>384</v>
      </c>
      <c r="B172" s="546">
        <v>25</v>
      </c>
      <c r="C172" s="362" t="s">
        <v>768</v>
      </c>
      <c r="D172" s="361">
        <v>201.66</v>
      </c>
      <c r="E172" s="372" t="s">
        <v>769</v>
      </c>
      <c r="F172" s="382" t="str">
        <f t="shared" si="72"/>
        <v>gering</v>
      </c>
      <c r="G172" s="304">
        <v>2.173</v>
      </c>
      <c r="H172" s="353">
        <v>2.15E-06</v>
      </c>
      <c r="I172" s="353"/>
      <c r="J172" s="353">
        <f t="shared" si="73"/>
        <v>2.15E-06</v>
      </c>
      <c r="K172" s="353">
        <v>6.2</v>
      </c>
      <c r="L172" s="353">
        <v>9.42E-10</v>
      </c>
      <c r="M172" s="353">
        <f t="shared" si="74"/>
        <v>3.850313038324969E-08</v>
      </c>
      <c r="N172" s="353"/>
      <c r="O172" s="353">
        <f t="shared" si="75"/>
        <v>3.850313038324969E-08</v>
      </c>
      <c r="P172" s="304">
        <f t="shared" si="76"/>
        <v>186.21302700902694</v>
      </c>
      <c r="Q172" s="304">
        <f t="shared" si="77"/>
        <v>191.63678304526607</v>
      </c>
      <c r="R172" s="304">
        <f t="shared" si="78"/>
        <v>212.92975893918452</v>
      </c>
      <c r="S172" s="304">
        <f t="shared" si="79"/>
        <v>0.020299803827942817</v>
      </c>
      <c r="T172" s="304">
        <f t="shared" si="80"/>
        <v>0.020299803827942817</v>
      </c>
    </row>
    <row r="173" spans="1:20" ht="12.75">
      <c r="A173" s="156" t="s">
        <v>390</v>
      </c>
      <c r="B173" s="546">
        <v>25</v>
      </c>
      <c r="C173" s="362" t="s">
        <v>770</v>
      </c>
      <c r="D173" s="361">
        <v>252.32</v>
      </c>
      <c r="E173" s="372" t="s">
        <v>771</v>
      </c>
      <c r="F173" s="382" t="str">
        <f t="shared" si="72"/>
        <v>gering</v>
      </c>
      <c r="G173" s="304">
        <v>2.788</v>
      </c>
      <c r="H173" s="353">
        <v>1.79E-06</v>
      </c>
      <c r="I173" s="353"/>
      <c r="J173" s="353">
        <f t="shared" si="73"/>
        <v>1.79E-06</v>
      </c>
      <c r="K173" s="353">
        <v>33000</v>
      </c>
      <c r="L173" s="353">
        <v>2.26E-12</v>
      </c>
      <c r="M173" s="353">
        <f t="shared" si="74"/>
        <v>9.23748138706415E-11</v>
      </c>
      <c r="N173" s="353"/>
      <c r="O173" s="353">
        <f t="shared" si="75"/>
        <v>9.23748138706415E-11</v>
      </c>
      <c r="P173" s="304">
        <f t="shared" si="76"/>
        <v>167.63426688867142</v>
      </c>
      <c r="Q173" s="304">
        <f t="shared" si="77"/>
        <v>234.45584745027787</v>
      </c>
      <c r="R173" s="304">
        <f t="shared" si="78"/>
        <v>260.5064971669754</v>
      </c>
      <c r="S173" s="304">
        <f t="shared" si="79"/>
        <v>0.018026272297880227</v>
      </c>
      <c r="T173" s="304">
        <f t="shared" si="80"/>
        <v>0.018026272297880227</v>
      </c>
    </row>
    <row r="174" spans="1:20" ht="12.75">
      <c r="A174" s="156" t="s">
        <v>391</v>
      </c>
      <c r="B174" s="546">
        <v>25</v>
      </c>
      <c r="C174" s="362" t="s">
        <v>772</v>
      </c>
      <c r="D174" s="361">
        <v>233.1</v>
      </c>
      <c r="E174" s="372" t="s">
        <v>773</v>
      </c>
      <c r="F174" s="382" t="str">
        <f t="shared" si="72"/>
        <v>gering</v>
      </c>
      <c r="G174" s="304">
        <v>2.134</v>
      </c>
      <c r="H174" s="353">
        <v>1.43E-06</v>
      </c>
      <c r="I174" s="353"/>
      <c r="J174" s="353">
        <f t="shared" si="73"/>
        <v>1.43E-06</v>
      </c>
      <c r="K174" s="353">
        <v>42</v>
      </c>
      <c r="L174" s="353">
        <v>5.04E-10</v>
      </c>
      <c r="M174" s="353">
        <f t="shared" si="74"/>
        <v>2.0600400969382E-08</v>
      </c>
      <c r="N174" s="353"/>
      <c r="O174" s="353">
        <f t="shared" si="75"/>
        <v>2.0600400969382E-08</v>
      </c>
      <c r="P174" s="304">
        <f t="shared" si="76"/>
        <v>173.96904057579553</v>
      </c>
      <c r="Q174" s="304">
        <f t="shared" si="77"/>
        <v>218.32247624744525</v>
      </c>
      <c r="R174" s="304">
        <f t="shared" si="78"/>
        <v>242.58052916382806</v>
      </c>
      <c r="S174" s="304">
        <f t="shared" si="79"/>
        <v>0.018799353327338293</v>
      </c>
      <c r="T174" s="304">
        <f t="shared" si="80"/>
        <v>0.018799353327338293</v>
      </c>
    </row>
    <row r="175" spans="1:20" ht="12.75">
      <c r="A175" s="156" t="s">
        <v>392</v>
      </c>
      <c r="B175" s="546">
        <v>25</v>
      </c>
      <c r="C175" s="362" t="s">
        <v>774</v>
      </c>
      <c r="D175" s="361">
        <v>229.71</v>
      </c>
      <c r="E175" s="372" t="s">
        <v>775</v>
      </c>
      <c r="F175" s="382" t="str">
        <f t="shared" si="72"/>
        <v>gering</v>
      </c>
      <c r="G175" s="304">
        <v>2.552</v>
      </c>
      <c r="H175" s="353">
        <v>9.48E-06</v>
      </c>
      <c r="I175" s="353"/>
      <c r="J175" s="353">
        <f t="shared" si="73"/>
        <v>9.48E-06</v>
      </c>
      <c r="K175" s="353">
        <v>8.6</v>
      </c>
      <c r="L175" s="353">
        <v>4.6E-09</v>
      </c>
      <c r="M175" s="353">
        <f t="shared" si="74"/>
        <v>1.8801953265705792E-07</v>
      </c>
      <c r="N175" s="353"/>
      <c r="O175" s="353">
        <f t="shared" si="75"/>
        <v>1.8801953265705792E-07</v>
      </c>
      <c r="P175" s="304">
        <f t="shared" si="76"/>
        <v>175.16750276469045</v>
      </c>
      <c r="Q175" s="304">
        <f t="shared" si="77"/>
        <v>215.4633431851649</v>
      </c>
      <c r="R175" s="304">
        <f t="shared" si="78"/>
        <v>239.40371465018322</v>
      </c>
      <c r="S175" s="304">
        <f t="shared" si="79"/>
        <v>0.01894588807684867</v>
      </c>
      <c r="T175" s="304">
        <f t="shared" si="80"/>
        <v>0.01894588807684867</v>
      </c>
    </row>
    <row r="176" spans="1:20" ht="12.75">
      <c r="A176" s="156" t="s">
        <v>393</v>
      </c>
      <c r="B176" s="546">
        <v>25</v>
      </c>
      <c r="C176" s="362" t="s">
        <v>776</v>
      </c>
      <c r="D176" s="361">
        <v>173.61</v>
      </c>
      <c r="E176" s="372" t="s">
        <v>777</v>
      </c>
      <c r="F176" s="382" t="str">
        <f t="shared" si="72"/>
        <v>gering</v>
      </c>
      <c r="G176" s="304">
        <v>1.746</v>
      </c>
      <c r="H176" s="353">
        <v>0.00153</v>
      </c>
      <c r="I176" s="353"/>
      <c r="J176" s="353">
        <f t="shared" si="73"/>
        <v>0.00153</v>
      </c>
      <c r="K176" s="353">
        <v>670</v>
      </c>
      <c r="L176" s="353">
        <v>7.825E-09</v>
      </c>
      <c r="M176" s="353">
        <f t="shared" si="74"/>
        <v>3.198375745742344E-07</v>
      </c>
      <c r="N176" s="353"/>
      <c r="O176" s="353">
        <f t="shared" si="75"/>
        <v>3.198375745742344E-07</v>
      </c>
      <c r="P176" s="304">
        <f t="shared" si="76"/>
        <v>199.84635387217017</v>
      </c>
      <c r="Q176" s="304">
        <f t="shared" si="77"/>
        <v>167.4747707479858</v>
      </c>
      <c r="R176" s="304">
        <f t="shared" si="78"/>
        <v>186.08307860887308</v>
      </c>
      <c r="S176" s="304">
        <f t="shared" si="79"/>
        <v>0.021976863192848757</v>
      </c>
      <c r="T176" s="304">
        <f t="shared" si="80"/>
        <v>0.021976863192848757</v>
      </c>
    </row>
    <row r="177" spans="1:20" ht="12.75">
      <c r="A177" s="156" t="s">
        <v>394</v>
      </c>
      <c r="B177" s="546">
        <v>25</v>
      </c>
      <c r="C177" s="362" t="s">
        <v>778</v>
      </c>
      <c r="D177" s="361">
        <v>240.28</v>
      </c>
      <c r="E177" s="372" t="s">
        <v>779</v>
      </c>
      <c r="F177" s="382" t="str">
        <f t="shared" si="72"/>
        <v>gering</v>
      </c>
      <c r="G177" s="304">
        <v>1.574</v>
      </c>
      <c r="H177" s="353">
        <v>4.52E-05</v>
      </c>
      <c r="I177" s="353"/>
      <c r="J177" s="353">
        <f t="shared" si="73"/>
        <v>4.52E-05</v>
      </c>
      <c r="K177" s="353">
        <v>500</v>
      </c>
      <c r="L177" s="353">
        <v>2.18E-09</v>
      </c>
      <c r="M177" s="353">
        <f t="shared" si="74"/>
        <v>8.910490895486658E-08</v>
      </c>
      <c r="N177" s="353"/>
      <c r="O177" s="353">
        <f t="shared" si="75"/>
        <v>8.910490895486658E-08</v>
      </c>
      <c r="P177" s="304">
        <f t="shared" si="76"/>
        <v>171.5144644924503</v>
      </c>
      <c r="Q177" s="304">
        <f t="shared" si="77"/>
        <v>224.36444032349632</v>
      </c>
      <c r="R177" s="304">
        <f t="shared" si="78"/>
        <v>249.29382258166257</v>
      </c>
      <c r="S177" s="304">
        <f t="shared" si="79"/>
        <v>0.018499499337383873</v>
      </c>
      <c r="T177" s="304">
        <f t="shared" si="80"/>
        <v>0.018499499337383873</v>
      </c>
    </row>
    <row r="178" spans="1:20" ht="12.75">
      <c r="A178" s="156" t="s">
        <v>386</v>
      </c>
      <c r="B178" s="546">
        <v>25</v>
      </c>
      <c r="C178" s="362" t="s">
        <v>780</v>
      </c>
      <c r="D178" s="361">
        <v>214.65</v>
      </c>
      <c r="E178" s="372" t="s">
        <v>781</v>
      </c>
      <c r="F178" s="382" t="str">
        <f t="shared" si="72"/>
        <v>gering</v>
      </c>
      <c r="G178" s="304">
        <v>1.687</v>
      </c>
      <c r="H178" s="353">
        <v>1.48E-05</v>
      </c>
      <c r="I178" s="353"/>
      <c r="J178" s="353">
        <f t="shared" si="73"/>
        <v>1.48E-05</v>
      </c>
      <c r="K178" s="353">
        <v>860</v>
      </c>
      <c r="L178" s="353">
        <v>8.96E-10</v>
      </c>
      <c r="M178" s="353">
        <f t="shared" si="74"/>
        <v>3.662293505667911E-08</v>
      </c>
      <c r="N178" s="353"/>
      <c r="O178" s="353">
        <f t="shared" si="75"/>
        <v>3.662293505667911E-08</v>
      </c>
      <c r="P178" s="304">
        <f t="shared" si="76"/>
        <v>180.82909948941673</v>
      </c>
      <c r="Q178" s="304">
        <f t="shared" si="77"/>
        <v>202.7095856493367</v>
      </c>
      <c r="R178" s="304">
        <f t="shared" si="78"/>
        <v>225.23287294370743</v>
      </c>
      <c r="S178" s="304">
        <f t="shared" si="79"/>
        <v>0.01963916152860949</v>
      </c>
      <c r="T178" s="304">
        <f t="shared" si="80"/>
        <v>0.01963916152860949</v>
      </c>
    </row>
    <row r="179" spans="1:20" ht="12.75">
      <c r="A179" s="156" t="s">
        <v>395</v>
      </c>
      <c r="B179" s="546">
        <v>25</v>
      </c>
      <c r="C179" s="362" t="s">
        <v>782</v>
      </c>
      <c r="D179" s="361">
        <v>206.29</v>
      </c>
      <c r="E179" s="372" t="s">
        <v>783</v>
      </c>
      <c r="F179" s="382" t="str">
        <f t="shared" si="72"/>
        <v>gering</v>
      </c>
      <c r="G179" s="304">
        <v>2.399</v>
      </c>
      <c r="H179" s="353">
        <v>5.11E-07</v>
      </c>
      <c r="I179" s="353"/>
      <c r="J179" s="353">
        <f t="shared" si="73"/>
        <v>5.11E-07</v>
      </c>
      <c r="K179" s="353">
        <v>65</v>
      </c>
      <c r="L179" s="353">
        <v>1.12E-10</v>
      </c>
      <c r="M179" s="353">
        <f t="shared" si="74"/>
        <v>4.577866882084889E-09</v>
      </c>
      <c r="N179" s="353"/>
      <c r="O179" s="353">
        <f t="shared" si="75"/>
        <v>4.577866882084889E-09</v>
      </c>
      <c r="P179" s="304">
        <f t="shared" si="76"/>
        <v>184.2357499210391</v>
      </c>
      <c r="Q179" s="304">
        <f t="shared" si="77"/>
        <v>195.59140654585605</v>
      </c>
      <c r="R179" s="304">
        <f t="shared" si="78"/>
        <v>217.32378505095116</v>
      </c>
      <c r="S179" s="304">
        <f t="shared" si="79"/>
        <v>0.020057041916844823</v>
      </c>
      <c r="T179" s="304">
        <f t="shared" si="80"/>
        <v>0.020057041916844823</v>
      </c>
    </row>
    <row r="180" spans="1:20" ht="12.75">
      <c r="A180" s="156" t="s">
        <v>784</v>
      </c>
      <c r="B180" s="546">
        <v>25</v>
      </c>
      <c r="C180" s="362" t="s">
        <v>785</v>
      </c>
      <c r="D180" s="361">
        <v>241.46</v>
      </c>
      <c r="E180" s="372" t="s">
        <v>789</v>
      </c>
      <c r="F180" s="382" t="str">
        <f t="shared" si="72"/>
        <v>gering</v>
      </c>
      <c r="G180" s="304">
        <v>1.258</v>
      </c>
      <c r="H180" s="353">
        <v>5.91E-09</v>
      </c>
      <c r="I180" s="353"/>
      <c r="J180" s="353">
        <f t="shared" si="73"/>
        <v>5.91E-09</v>
      </c>
      <c r="K180" s="353">
        <v>430</v>
      </c>
      <c r="L180" s="353">
        <v>5.592E-11</v>
      </c>
      <c r="M180" s="353">
        <f t="shared" si="74"/>
        <v>2.2856635361266695E-09</v>
      </c>
      <c r="N180" s="353"/>
      <c r="O180" s="353">
        <f t="shared" si="75"/>
        <v>2.2856635361266695E-09</v>
      </c>
      <c r="P180" s="304">
        <f t="shared" si="76"/>
        <v>171.12150264142977</v>
      </c>
      <c r="Q180" s="304">
        <f t="shared" si="77"/>
        <v>225.35566554341776</v>
      </c>
      <c r="R180" s="304">
        <f t="shared" si="78"/>
        <v>250.39518393713084</v>
      </c>
      <c r="S180" s="304">
        <f t="shared" si="79"/>
        <v>0.018451529049701664</v>
      </c>
      <c r="T180" s="304">
        <f t="shared" si="80"/>
        <v>0.018451529049701664</v>
      </c>
    </row>
    <row r="181" spans="1:20" ht="12.75">
      <c r="A181" s="156" t="s">
        <v>1110</v>
      </c>
      <c r="B181" s="546">
        <v>25</v>
      </c>
      <c r="C181" s="362" t="s">
        <v>787</v>
      </c>
      <c r="D181" s="361">
        <v>169.07</v>
      </c>
      <c r="E181" s="372" t="s">
        <v>788</v>
      </c>
      <c r="F181" s="382" t="str">
        <f t="shared" si="72"/>
        <v>gering</v>
      </c>
      <c r="G181" s="304">
        <v>1.274</v>
      </c>
      <c r="H181" s="353">
        <v>2.27E-08</v>
      </c>
      <c r="I181" s="353"/>
      <c r="J181" s="353">
        <f t="shared" si="73"/>
        <v>2.27E-08</v>
      </c>
      <c r="K181" s="353">
        <v>12000</v>
      </c>
      <c r="L181" s="353">
        <v>9.566E-17</v>
      </c>
      <c r="M181" s="353">
        <f t="shared" si="74"/>
        <v>3.909988803037861E-15</v>
      </c>
      <c r="N181" s="353"/>
      <c r="O181" s="353">
        <f t="shared" si="75"/>
        <v>3.909988803037861E-15</v>
      </c>
      <c r="P181" s="304">
        <f t="shared" si="76"/>
        <v>202.36974245473817</v>
      </c>
      <c r="Q181" s="304">
        <f t="shared" si="77"/>
        <v>163.52869833426928</v>
      </c>
      <c r="R181" s="304">
        <f t="shared" si="78"/>
        <v>181.69855370474363</v>
      </c>
      <c r="S181" s="304">
        <f t="shared" si="79"/>
        <v>0.022287689174656466</v>
      </c>
      <c r="T181" s="304">
        <f t="shared" si="80"/>
        <v>0.022287689174656466</v>
      </c>
    </row>
    <row r="182" spans="1:20" ht="13.5" thickBot="1">
      <c r="A182" s="156"/>
      <c r="B182" s="540"/>
      <c r="C182" s="362"/>
      <c r="D182" s="361"/>
      <c r="E182" s="372"/>
      <c r="F182" s="372"/>
      <c r="G182" s="304"/>
      <c r="H182" s="353"/>
      <c r="I182" s="353"/>
      <c r="J182" s="353"/>
      <c r="K182" s="353"/>
      <c r="L182" s="353"/>
      <c r="M182" s="353"/>
      <c r="N182" s="353"/>
      <c r="O182" s="353"/>
      <c r="P182" s="304"/>
      <c r="Q182" s="304"/>
      <c r="R182" s="304"/>
      <c r="S182" s="304"/>
      <c r="T182" s="304"/>
    </row>
    <row r="183" spans="1:20" ht="12.75">
      <c r="A183" s="157" t="s">
        <v>400</v>
      </c>
      <c r="B183" s="541"/>
      <c r="C183" s="363"/>
      <c r="D183" s="373"/>
      <c r="E183" s="374"/>
      <c r="F183" s="374"/>
      <c r="G183" s="383"/>
      <c r="H183" s="354"/>
      <c r="I183" s="354"/>
      <c r="J183" s="354"/>
      <c r="K183" s="354"/>
      <c r="L183" s="354"/>
      <c r="M183" s="354"/>
      <c r="N183" s="354"/>
      <c r="O183" s="354"/>
      <c r="P183" s="383"/>
      <c r="Q183" s="383"/>
      <c r="R183" s="383"/>
      <c r="S183" s="383"/>
      <c r="T183" s="383"/>
    </row>
    <row r="184" spans="1:20" ht="12.75">
      <c r="A184" s="156" t="s">
        <v>401</v>
      </c>
      <c r="B184" s="546">
        <v>25</v>
      </c>
      <c r="C184" s="362" t="s">
        <v>790</v>
      </c>
      <c r="D184" s="361">
        <v>232.94</v>
      </c>
      <c r="E184" s="372" t="s">
        <v>791</v>
      </c>
      <c r="F184" s="382" t="str">
        <f>IF($M184&lt;0.00001226,"gering",IF($M184&lt;0.04087,"mittel","hoch"))</f>
        <v>mittel</v>
      </c>
      <c r="G184" s="304">
        <v>2.971</v>
      </c>
      <c r="H184" s="353">
        <v>1.68</v>
      </c>
      <c r="I184" s="353"/>
      <c r="J184" s="353">
        <f>$H184/(EXP(-$I184/8.314*(1/298.15-1/(B184+273.15))))</f>
        <v>1.68</v>
      </c>
      <c r="K184" s="353">
        <v>56.5</v>
      </c>
      <c r="L184" s="353">
        <v>0.0003286</v>
      </c>
      <c r="M184" s="353">
        <f>$L184/(0.000082057834*298.15)</f>
        <v>0.013431134441545487</v>
      </c>
      <c r="N184" s="353"/>
      <c r="O184" s="353">
        <f>$M184*EXP($N184*(1/298.15-1/(273.15+$B184)))</f>
        <v>0.013431134441545487</v>
      </c>
      <c r="P184" s="304">
        <f>0.001*($B184+273.15)^1.75*SQRT((28.97+$D184)/(28.97*$D184))/(1*(20.1^(1/3)+($Q184)^(1/3))^2)/10000*86400*365</f>
        <v>174.0250195477991</v>
      </c>
      <c r="Q184" s="304">
        <f>0.9*$R184</f>
        <v>218.18762602528108</v>
      </c>
      <c r="R184" s="304">
        <f>(13.26*0.00001/(0.8904^1.14*$S184/(0.0001*86400*365)))^(1/0.589)</f>
        <v>242.43069558364564</v>
      </c>
      <c r="S184" s="304">
        <f>0.00000000000003595*298.15/(0.001*$D184^0.53)*3600*24*365</f>
        <v>0.01880619598177034</v>
      </c>
      <c r="T184" s="304">
        <f>0.00000000000003595*($B184+273.15)/(0.001*$D184^0.53)*3600*24*365</f>
        <v>0.01880619598177034</v>
      </c>
    </row>
    <row r="185" spans="1:20" ht="12.75">
      <c r="A185" s="156" t="s">
        <v>794</v>
      </c>
      <c r="B185" s="546">
        <v>25</v>
      </c>
      <c r="C185" s="362" t="s">
        <v>792</v>
      </c>
      <c r="D185" s="361">
        <v>291.07</v>
      </c>
      <c r="E185" s="372" t="s">
        <v>793</v>
      </c>
      <c r="F185" s="382" t="str">
        <f>IF($M185&lt;0.00001226,"gering",IF($M185&lt;0.04087,"mittel","hoch"))</f>
        <v>hoch</v>
      </c>
      <c r="G185" s="304">
        <v>3.998</v>
      </c>
      <c r="H185" s="353">
        <v>0.0432</v>
      </c>
      <c r="I185" s="353"/>
      <c r="J185" s="353">
        <f>$H185/(EXP(-$I185/8.314*(1/298.15-1/(B185+273.15))))</f>
        <v>0.0432</v>
      </c>
      <c r="K185" s="353">
        <v>0.82457</v>
      </c>
      <c r="L185" s="353">
        <v>2.093</v>
      </c>
      <c r="M185" s="353">
        <f>$L185/(0.000082057834*298.15)</f>
        <v>85.54888735896135</v>
      </c>
      <c r="N185" s="353"/>
      <c r="O185" s="353">
        <f>$M185*EXP($N185*(1/298.15-1/(273.15+$B185)))</f>
        <v>85.54888735896135</v>
      </c>
      <c r="P185" s="304">
        <f>0.001*($B185+273.15)^1.75*SQRT((28.97+$D185)/(28.97*$D185))/(1*(20.1^(1/3)+($Q185)^(1/3))^2)/10000*86400*365</f>
        <v>156.80712762363657</v>
      </c>
      <c r="Q185" s="304">
        <f>0.9*$R185</f>
        <v>266.61938821980306</v>
      </c>
      <c r="R185" s="304">
        <f>(13.26*0.00001/(0.8904^1.14*$S185/(0.0001*86400*365)))^(1/0.589)</f>
        <v>296.24376468867007</v>
      </c>
      <c r="S185" s="304">
        <f>0.00000000000003595*298.15/(0.001*$D185^0.53)*3600*24*365</f>
        <v>0.016711739950466258</v>
      </c>
      <c r="T185" s="304">
        <f>0.00000000000003595*($B185+273.15)/(0.001*$D185^0.53)*3600*24*365</f>
        <v>0.016711739950466258</v>
      </c>
    </row>
    <row r="186" spans="1:20" ht="12.75">
      <c r="A186" s="156" t="s">
        <v>404</v>
      </c>
      <c r="B186" s="546">
        <v>25</v>
      </c>
      <c r="C186" s="362" t="s">
        <v>795</v>
      </c>
      <c r="D186" s="361">
        <v>351.04</v>
      </c>
      <c r="E186" s="372" t="s">
        <v>796</v>
      </c>
      <c r="F186" s="382" t="str">
        <f>IF($M186&lt;0.00001226,"gering",IF($M186&lt;0.04087,"mittel","hoch"))</f>
        <v>hoch</v>
      </c>
      <c r="G186" s="304">
        <v>5.648</v>
      </c>
      <c r="H186" s="353">
        <v>8.28E-05</v>
      </c>
      <c r="I186" s="353"/>
      <c r="J186" s="353">
        <f>$H186/(EXP(-$I186/8.314*(1/298.15-1/(B186+273.15))))</f>
        <v>8.28E-05</v>
      </c>
      <c r="K186" s="353">
        <v>0.13701</v>
      </c>
      <c r="L186" s="353">
        <v>0.002458</v>
      </c>
      <c r="M186" s="353">
        <f>$L186/(0.000082057834*298.15)</f>
        <v>0.10046782853718443</v>
      </c>
      <c r="N186" s="353"/>
      <c r="O186" s="353">
        <f>$M186*EXP($N186*(1/298.15-1/(273.15+$B186)))</f>
        <v>0.10046782853718443</v>
      </c>
      <c r="P186" s="304">
        <f>0.001*($B186+273.15)^1.75*SQRT((28.97+$D186)/(28.97*$D186))/(1*(20.1^(1/3)+($Q186)^(1/3))^2)/10000*86400*365</f>
        <v>143.676557204749</v>
      </c>
      <c r="Q186" s="304">
        <f>0.9*$R186</f>
        <v>315.57395915374013</v>
      </c>
      <c r="R186" s="304">
        <f>(13.26*0.00001/(0.8904^1.14*$S186/(0.0001*86400*365)))^(1/0.589)</f>
        <v>350.6377323930446</v>
      </c>
      <c r="S186" s="304">
        <f>0.00000000000003595*298.15/(0.001*$D186^0.53)*3600*24*365</f>
        <v>0.01513217357317009</v>
      </c>
      <c r="T186" s="304">
        <f>0.00000000000003595*($B186+273.15)/(0.001*$D186^0.53)*3600*24*365</f>
        <v>0.01513217357317009</v>
      </c>
    </row>
    <row r="187" spans="1:20" ht="13.5" thickBot="1">
      <c r="A187" s="156"/>
      <c r="B187" s="540"/>
      <c r="C187" s="362"/>
      <c r="D187" s="361"/>
      <c r="E187" s="372"/>
      <c r="F187" s="372"/>
      <c r="G187" s="304"/>
      <c r="H187" s="353"/>
      <c r="I187" s="353"/>
      <c r="J187" s="353"/>
      <c r="K187" s="353"/>
      <c r="L187" s="353"/>
      <c r="M187" s="353"/>
      <c r="N187" s="353"/>
      <c r="O187" s="353"/>
      <c r="P187" s="304"/>
      <c r="Q187" s="304"/>
      <c r="R187" s="304"/>
      <c r="S187" s="304"/>
      <c r="T187" s="304"/>
    </row>
    <row r="188" spans="1:20" ht="12.75">
      <c r="A188" s="157" t="s">
        <v>403</v>
      </c>
      <c r="B188" s="541"/>
      <c r="C188" s="363"/>
      <c r="D188" s="373"/>
      <c r="E188" s="374"/>
      <c r="F188" s="374"/>
      <c r="G188" s="383"/>
      <c r="H188" s="354"/>
      <c r="I188" s="354"/>
      <c r="J188" s="354"/>
      <c r="K188" s="354"/>
      <c r="L188" s="354"/>
      <c r="M188" s="354"/>
      <c r="N188" s="354"/>
      <c r="O188" s="354"/>
      <c r="P188" s="383"/>
      <c r="Q188" s="383"/>
      <c r="R188" s="383"/>
      <c r="S188" s="383"/>
      <c r="T188" s="383"/>
    </row>
    <row r="189" spans="1:20" ht="12.75">
      <c r="A189" s="156" t="s">
        <v>405</v>
      </c>
      <c r="B189" s="546">
        <v>25</v>
      </c>
      <c r="C189" s="362" t="s">
        <v>797</v>
      </c>
      <c r="D189" s="361">
        <v>316.4</v>
      </c>
      <c r="E189" s="372" t="s">
        <v>798</v>
      </c>
      <c r="F189" s="382" t="str">
        <f>IF($M189&lt;0.00001226,"gering",IF($M189&lt;0.04087,"mittel","hoch"))</f>
        <v>gering</v>
      </c>
      <c r="G189" s="304">
        <v>2.879</v>
      </c>
      <c r="H189" s="353">
        <v>7.56E-08</v>
      </c>
      <c r="I189" s="353"/>
      <c r="J189" s="353">
        <f>$H189/(EXP(-$I189/8.314*(1/298.15-1/(B189+273.15))))</f>
        <v>7.56E-08</v>
      </c>
      <c r="K189" s="353">
        <v>43</v>
      </c>
      <c r="L189" s="353">
        <v>1.916E-08</v>
      </c>
      <c r="M189" s="353">
        <f>$L189/(0.000082057834*298.15)</f>
        <v>7.831422273280935E-07</v>
      </c>
      <c r="N189" s="353"/>
      <c r="O189" s="353">
        <f>$M189*EXP($N189*(1/298.15-1/(273.15+$B189)))</f>
        <v>7.831422273280935E-07</v>
      </c>
      <c r="P189" s="304">
        <f>0.001*($B189+273.15)^1.75*SQRT((28.97+$D189)/(28.97*$D189))/(1*(20.1^(1/3)+($Q189)^(1/3))^2)/10000*86400*365</f>
        <v>150.81577461443447</v>
      </c>
      <c r="Q189" s="304">
        <f>0.9*$R189</f>
        <v>287.4092232539408</v>
      </c>
      <c r="R189" s="304">
        <f>(13.26*0.00001/(0.8904^1.14*$S189/(0.0001*86400*365)))^(1/0.589)</f>
        <v>319.3435813932675</v>
      </c>
      <c r="S189" s="304">
        <f>0.00000000000003595*298.15/(0.001*$D189^0.53)*3600*24*365</f>
        <v>0.01598876736713961</v>
      </c>
      <c r="T189" s="304">
        <f>0.00000000000003595*($B189+273.15)/(0.001*$D189^0.53)*3600*24*365</f>
        <v>0.01598876736713961</v>
      </c>
    </row>
    <row r="190" spans="1:20" ht="12.75">
      <c r="A190" s="156" t="s">
        <v>407</v>
      </c>
      <c r="B190" s="546">
        <v>25</v>
      </c>
      <c r="C190" s="362" t="s">
        <v>799</v>
      </c>
      <c r="D190" s="361">
        <v>222.12</v>
      </c>
      <c r="E190" s="372" t="s">
        <v>800</v>
      </c>
      <c r="F190" s="382" t="str">
        <f>IF($M190&lt;0.00001226,"gering",IF($M190&lt;0.04087,"mittel","hoch"))</f>
        <v>gering</v>
      </c>
      <c r="G190" s="304">
        <v>2.291</v>
      </c>
      <c r="H190" s="353">
        <v>2.5E-07</v>
      </c>
      <c r="I190" s="353"/>
      <c r="J190" s="353">
        <f>$H190/(EXP(-$I190/8.314*(1/298.15-1/(B190+273.15))))</f>
        <v>2.5E-07</v>
      </c>
      <c r="K190" s="353">
        <v>59.7</v>
      </c>
      <c r="L190" s="353">
        <v>6.46E-11</v>
      </c>
      <c r="M190" s="353">
        <f>$L190/(0.000082057834*298.15)</f>
        <v>2.6404482194882484E-09</v>
      </c>
      <c r="N190" s="353"/>
      <c r="O190" s="353">
        <f>$M190*EXP($N190*(1/298.15-1/(273.15+$B190)))</f>
        <v>2.6404482194882484E-09</v>
      </c>
      <c r="P190" s="304">
        <f>0.001*($B190+273.15)^1.75*SQRT((28.97+$D190)/(28.97*$D190))/(1*(20.1^(1/3)+($Q190)^(1/3))^2)/10000*86400*365</f>
        <v>177.9491092932623</v>
      </c>
      <c r="Q190" s="304">
        <f>0.9*$R190</f>
        <v>209.0464796124252</v>
      </c>
      <c r="R190" s="304">
        <f>(13.26*0.00001/(0.8904^1.14*$S190/(0.0001*86400*365)))^(1/0.589)</f>
        <v>232.273866236028</v>
      </c>
      <c r="S190" s="304">
        <f>0.00000000000003595*298.15/(0.001*$D190^0.53)*3600*24*365</f>
        <v>0.01928629711465742</v>
      </c>
      <c r="T190" s="304">
        <f>0.00000000000003595*($B190+273.15)/(0.001*$D190^0.53)*3600*24*365</f>
        <v>0.01928629711465742</v>
      </c>
    </row>
    <row r="191" spans="1:20" ht="12.75">
      <c r="A191" s="156" t="s">
        <v>408</v>
      </c>
      <c r="B191" s="546">
        <v>25</v>
      </c>
      <c r="C191" s="362" t="s">
        <v>801</v>
      </c>
      <c r="D191" s="361">
        <v>439.21</v>
      </c>
      <c r="E191" s="372" t="s">
        <v>802</v>
      </c>
      <c r="F191" s="382" t="str">
        <f>IF($M191&lt;0.00001226,"gering",IF($M191&lt;0.04087,"mittel","hoch"))</f>
        <v>gering</v>
      </c>
      <c r="G191" s="304">
        <v>6.21</v>
      </c>
      <c r="H191" s="353">
        <v>1.5E-11</v>
      </c>
      <c r="I191" s="353"/>
      <c r="J191" s="353">
        <f>$H191/(EXP(-$I191/8.314*(1/298.15-1/(B191+273.15))))</f>
        <v>1.5E-11</v>
      </c>
      <c r="K191" s="353">
        <v>60</v>
      </c>
      <c r="L191" s="353">
        <v>1.535E-14</v>
      </c>
      <c r="M191" s="353">
        <f>$L191/(0.000082057834*298.15)</f>
        <v>6.274130057143128E-13</v>
      </c>
      <c r="N191" s="353"/>
      <c r="O191" s="353">
        <f>$M191*EXP($N191*(1/298.15-1/(273.15+$B191)))</f>
        <v>6.274130057143128E-13</v>
      </c>
      <c r="P191" s="304">
        <f>0.001*($B191+273.15)^1.75*SQRT((28.97+$D191)/(28.97*$D191))/(1*(20.1^(1/3)+($Q191)^(1/3))^2)/10000*86400*365</f>
        <v>129.39661666344756</v>
      </c>
      <c r="Q191" s="304">
        <f>0.9*$R191</f>
        <v>386.07234069513146</v>
      </c>
      <c r="R191" s="304">
        <f>(13.26*0.00001/(0.8904^1.14*$S191/(0.0001*86400*365)))^(1/0.589)</f>
        <v>428.9692674390349</v>
      </c>
      <c r="S191" s="304">
        <f>0.00000000000003595*298.15/(0.001*$D191^0.53)*3600*24*365</f>
        <v>0.013437672084617403</v>
      </c>
      <c r="T191" s="304">
        <f>0.00000000000003595*($B191+273.15)/(0.001*$D191^0.53)*3600*24*365</f>
        <v>0.013437672084617403</v>
      </c>
    </row>
    <row r="192" spans="1:20" ht="12.75">
      <c r="A192" s="156" t="s">
        <v>409</v>
      </c>
      <c r="B192" s="546">
        <v>25</v>
      </c>
      <c r="C192" s="362" t="s">
        <v>803</v>
      </c>
      <c r="D192" s="361">
        <v>287.15</v>
      </c>
      <c r="E192" s="372" t="s">
        <v>804</v>
      </c>
      <c r="F192" s="382" t="str">
        <f>IF($M192&lt;0.00001226,"niedrig",IF($M192&lt;0.04087,"mittel","hoch"))</f>
        <v>niedrig</v>
      </c>
      <c r="G192" s="304">
        <v>3.331</v>
      </c>
      <c r="H192" s="353">
        <v>1.36E-06</v>
      </c>
      <c r="I192" s="353"/>
      <c r="J192" s="353">
        <f>$H192/(EXP(-$I192/8.314*(1/298.15-1/(B192+273.15))))</f>
        <v>1.36E-06</v>
      </c>
      <c r="K192" s="353">
        <v>74</v>
      </c>
      <c r="L192" s="353">
        <v>7.689E-11</v>
      </c>
      <c r="M192" s="353">
        <f>$L192/(0.000082057834*298.15)</f>
        <v>3.1427873621741705E-09</v>
      </c>
      <c r="N192" s="353"/>
      <c r="O192" s="353">
        <f>$M192*EXP($N192*(1/298.15-1/(273.15+$B192)))</f>
        <v>3.1427873621741705E-09</v>
      </c>
      <c r="P192" s="304">
        <f>0.001*($B192+273.15)^1.75*SQRT((28.97+$D192)/(28.97*$D192))/(1*(20.1^(1/3)+($Q192)^(1/3))^2)/10000*86400*365</f>
        <v>157.80322588054312</v>
      </c>
      <c r="Q192" s="304">
        <f>0.9*$R192</f>
        <v>263.38616848068943</v>
      </c>
      <c r="R192" s="304">
        <f>(13.26*0.00001/(0.8904^1.14*$S192/(0.0001*86400*365)))^(1/0.589)</f>
        <v>292.65129831187716</v>
      </c>
      <c r="S192" s="304">
        <f>0.00000000000003595*298.15/(0.001*$D192^0.53)*3600*24*365</f>
        <v>0.01683226812132967</v>
      </c>
      <c r="T192" s="304">
        <f>0.00000000000003595*($B192+273.15)/(0.001*$D192^0.53)*3600*24*365</f>
        <v>0.01683226812132967</v>
      </c>
    </row>
    <row r="193" spans="1:20" ht="12.75">
      <c r="A193" s="123" t="s">
        <v>410</v>
      </c>
      <c r="B193" s="546">
        <v>25</v>
      </c>
      <c r="C193" s="364" t="s">
        <v>805</v>
      </c>
      <c r="D193" s="361">
        <v>296.16</v>
      </c>
      <c r="E193" s="372" t="s">
        <v>806</v>
      </c>
      <c r="F193" s="382" t="str">
        <f>IF($M193&lt;0.00001226,"niedrig",IF($M193&lt;0.04087,"mittel","hoch"))</f>
        <v>niedrig</v>
      </c>
      <c r="G193" s="304">
        <v>3.268</v>
      </c>
      <c r="H193" s="353">
        <v>1.2E-12</v>
      </c>
      <c r="I193" s="353"/>
      <c r="J193" s="353">
        <f>$H193/(EXP(-$I193/8.314*(1/298.15-1/(B193+273.15))))</f>
        <v>1.2E-12</v>
      </c>
      <c r="K193" s="353">
        <v>9438</v>
      </c>
      <c r="L193" s="353">
        <v>9.951E-13</v>
      </c>
      <c r="M193" s="353">
        <f>$L193/(0.000082057834*298.15)</f>
        <v>4.0673529771095294E-11</v>
      </c>
      <c r="N193" s="353"/>
      <c r="O193" s="353">
        <f>$M193*EXP($N193*(1/298.15-1/(273.15+$B193)))</f>
        <v>4.0673529771095294E-11</v>
      </c>
      <c r="P193" s="304">
        <f>0.001*($B193+273.15)^1.75*SQRT((28.97+$D193)/(28.97*$D193))/(1*(20.1^(1/3)+($Q193)^(1/3))^2)/10000*86400*365</f>
        <v>155.5428588430089</v>
      </c>
      <c r="Q193" s="304">
        <f>0.9*$R193</f>
        <v>270.8111299573783</v>
      </c>
      <c r="R193" s="304">
        <f>(13.26*0.00001/(0.8904^1.14*$S193/(0.0001*86400*365)))^(1/0.589)</f>
        <v>300.90125550819806</v>
      </c>
      <c r="S193" s="304">
        <f>0.00000000000003595*298.15/(0.001*$D193^0.53)*3600*24*365</f>
        <v>0.016558893867527666</v>
      </c>
      <c r="T193" s="304">
        <f>0.00000000000003595*($B193+273.15)/(0.001*$D193^0.53)*3600*24*365</f>
        <v>0.016558893867527666</v>
      </c>
    </row>
    <row r="194" spans="1:20" ht="13.5" thickBot="1">
      <c r="A194" s="123"/>
      <c r="B194" s="543"/>
      <c r="C194" s="364"/>
      <c r="D194" s="361"/>
      <c r="E194" s="372"/>
      <c r="F194" s="372"/>
      <c r="G194" s="304"/>
      <c r="H194" s="353"/>
      <c r="I194" s="353"/>
      <c r="J194" s="353"/>
      <c r="K194" s="353"/>
      <c r="L194" s="353"/>
      <c r="M194" s="353"/>
      <c r="N194" s="353"/>
      <c r="O194" s="353"/>
      <c r="P194" s="304"/>
      <c r="Q194" s="304"/>
      <c r="R194" s="304"/>
      <c r="S194" s="304"/>
      <c r="T194" s="304"/>
    </row>
    <row r="195" spans="1:20" ht="12.75">
      <c r="A195" s="157" t="s">
        <v>807</v>
      </c>
      <c r="B195" s="541"/>
      <c r="C195" s="366"/>
      <c r="D195" s="373"/>
      <c r="E195" s="374"/>
      <c r="F195" s="374"/>
      <c r="G195" s="383"/>
      <c r="H195" s="354"/>
      <c r="I195" s="354"/>
      <c r="J195" s="354"/>
      <c r="K195" s="354"/>
      <c r="L195" s="354"/>
      <c r="M195" s="354"/>
      <c r="N195" s="354"/>
      <c r="O195" s="354"/>
      <c r="P195" s="383"/>
      <c r="Q195" s="383"/>
      <c r="R195" s="383"/>
      <c r="S195" s="383"/>
      <c r="T195" s="383"/>
    </row>
    <row r="196" spans="1:20" ht="12.75">
      <c r="A196" s="156" t="s">
        <v>808</v>
      </c>
      <c r="B196" s="546">
        <v>25</v>
      </c>
      <c r="C196" s="364" t="s">
        <v>811</v>
      </c>
      <c r="D196" s="361">
        <v>120.15</v>
      </c>
      <c r="E196" s="372" t="s">
        <v>810</v>
      </c>
      <c r="F196" s="382" t="str">
        <f aca="true" t="shared" si="81" ref="F196:F202">IF($M196&lt;0.00001226,"gering",IF($M196&lt;0.04087,"mittel","hoch"))</f>
        <v>mittel</v>
      </c>
      <c r="G196" s="304">
        <v>1.665</v>
      </c>
      <c r="H196" s="353">
        <v>0.397</v>
      </c>
      <c r="I196" s="353"/>
      <c r="J196" s="353">
        <f aca="true" t="shared" si="82" ref="J196:J202">$H196/(EXP(-$I196/8.314*(1/298.15-1/(B196+273.15))))</f>
        <v>0.397</v>
      </c>
      <c r="K196" s="353">
        <v>6130</v>
      </c>
      <c r="L196" s="353">
        <v>1.04E-05</v>
      </c>
      <c r="M196" s="353">
        <f aca="true" t="shared" si="83" ref="M196:M202">$L196/(0.000082057834*298.15)</f>
        <v>0.00042508763905073967</v>
      </c>
      <c r="N196" s="353"/>
      <c r="O196" s="353">
        <f aca="true" t="shared" si="84" ref="O196:O202">$M196*EXP($N196*(1/298.15-1/(273.15+$B196)))</f>
        <v>0.00042508763905073967</v>
      </c>
      <c r="P196" s="304">
        <f aca="true" t="shared" si="85" ref="P196:P202">0.001*($B196+273.15)^1.75*SQRT((28.97+$D196)/(28.97*$D196))/(1*(20.1^(1/3)+($Q196)^(1/3))^2)/10000*86400*365</f>
        <v>238.29930973602524</v>
      </c>
      <c r="Q196" s="304">
        <f aca="true" t="shared" si="86" ref="Q196:Q202">0.9*$R196</f>
        <v>120.25708310284323</v>
      </c>
      <c r="R196" s="304">
        <f aca="true" t="shared" si="87" ref="R196:R202">(13.26*0.00001/(0.8904^1.14*$S196/(0.0001*86400*365)))^(1/0.589)</f>
        <v>133.61898122538136</v>
      </c>
      <c r="S196" s="304">
        <f aca="true" t="shared" si="88" ref="S196:S202">0.00000000000003595*298.15/(0.001*$D196^0.53)*3600*24*365</f>
        <v>0.02671078886708129</v>
      </c>
      <c r="T196" s="304">
        <f aca="true" t="shared" si="89" ref="T196:T202">0.00000000000003595*($B196+273.15)/(0.001*$D196^0.53)*3600*24*365</f>
        <v>0.02671078886708129</v>
      </c>
    </row>
    <row r="197" spans="1:20" ht="12.75">
      <c r="A197" s="156" t="s">
        <v>809</v>
      </c>
      <c r="B197" s="546">
        <v>25</v>
      </c>
      <c r="C197" s="364" t="s">
        <v>812</v>
      </c>
      <c r="D197" s="361">
        <v>154.6</v>
      </c>
      <c r="E197" s="372" t="s">
        <v>813</v>
      </c>
      <c r="F197" s="382" t="str">
        <f t="shared" si="81"/>
        <v>mittel</v>
      </c>
      <c r="G197" s="304">
        <v>1.951</v>
      </c>
      <c r="H197" s="353">
        <v>0.0156</v>
      </c>
      <c r="I197" s="353"/>
      <c r="J197" s="353">
        <f t="shared" si="82"/>
        <v>0.0156</v>
      </c>
      <c r="K197" s="353">
        <v>2484.9</v>
      </c>
      <c r="L197" s="353">
        <v>1.978E-06</v>
      </c>
      <c r="M197" s="353">
        <f t="shared" si="83"/>
        <v>8.08483990425349E-05</v>
      </c>
      <c r="N197" s="353"/>
      <c r="O197" s="353">
        <f t="shared" si="84"/>
        <v>8.08483990425349E-05</v>
      </c>
      <c r="P197" s="304">
        <f t="shared" si="85"/>
        <v>211.1532856539956</v>
      </c>
      <c r="Q197" s="304">
        <f t="shared" si="86"/>
        <v>150.87914703162244</v>
      </c>
      <c r="R197" s="304">
        <f t="shared" si="87"/>
        <v>167.64349670180272</v>
      </c>
      <c r="S197" s="304">
        <f t="shared" si="88"/>
        <v>0.02337003085899227</v>
      </c>
      <c r="T197" s="304">
        <f t="shared" si="89"/>
        <v>0.02337003085899227</v>
      </c>
    </row>
    <row r="198" spans="1:20" ht="12.75">
      <c r="A198" s="156" t="s">
        <v>814</v>
      </c>
      <c r="B198" s="546">
        <v>25</v>
      </c>
      <c r="C198" s="364" t="s">
        <v>815</v>
      </c>
      <c r="D198" s="361">
        <v>264.59</v>
      </c>
      <c r="E198" s="372" t="s">
        <v>816</v>
      </c>
      <c r="F198" s="382" t="str">
        <f t="shared" si="81"/>
        <v>mittel</v>
      </c>
      <c r="G198" s="304">
        <v>4.28</v>
      </c>
      <c r="H198" s="353">
        <v>0.000268</v>
      </c>
      <c r="I198" s="353"/>
      <c r="J198" s="353">
        <f t="shared" si="82"/>
        <v>0.000268</v>
      </c>
      <c r="K198" s="353">
        <v>8.8316</v>
      </c>
      <c r="L198" s="353">
        <v>2.303E-05</v>
      </c>
      <c r="M198" s="353">
        <f t="shared" si="83"/>
        <v>0.0009413238776287053</v>
      </c>
      <c r="N198" s="353"/>
      <c r="O198" s="353">
        <f t="shared" si="84"/>
        <v>0.0009413238776287053</v>
      </c>
      <c r="P198" s="304">
        <f t="shared" si="85"/>
        <v>163.95299922901737</v>
      </c>
      <c r="Q198" s="304">
        <f t="shared" si="86"/>
        <v>244.69051942911557</v>
      </c>
      <c r="R198" s="304">
        <f t="shared" si="87"/>
        <v>271.8783549212395</v>
      </c>
      <c r="S198" s="304">
        <f t="shared" si="88"/>
        <v>0.017578280867815453</v>
      </c>
      <c r="T198" s="304">
        <f t="shared" si="89"/>
        <v>0.017578280867815453</v>
      </c>
    </row>
    <row r="199" spans="1:20" ht="12.75">
      <c r="A199" s="156" t="s">
        <v>826</v>
      </c>
      <c r="B199" s="546">
        <v>25</v>
      </c>
      <c r="C199" s="364" t="s">
        <v>817</v>
      </c>
      <c r="D199" s="361">
        <v>255.15</v>
      </c>
      <c r="E199" s="372" t="s">
        <v>818</v>
      </c>
      <c r="F199" s="382" t="str">
        <f t="shared" si="81"/>
        <v>gering</v>
      </c>
      <c r="G199" s="304">
        <v>3.844</v>
      </c>
      <c r="H199" s="353">
        <v>3.22E-05</v>
      </c>
      <c r="I199" s="353"/>
      <c r="J199" s="353">
        <f t="shared" si="82"/>
        <v>3.22E-05</v>
      </c>
      <c r="K199" s="353">
        <v>105.64</v>
      </c>
      <c r="L199" s="353">
        <v>1.277E-07</v>
      </c>
      <c r="M199" s="353">
        <f t="shared" si="83"/>
        <v>5.219585721805717E-06</v>
      </c>
      <c r="N199" s="353"/>
      <c r="O199" s="353">
        <f t="shared" si="84"/>
        <v>5.219585721805717E-06</v>
      </c>
      <c r="P199" s="304">
        <f t="shared" si="85"/>
        <v>166.7619562239095</v>
      </c>
      <c r="Q199" s="304">
        <f t="shared" si="86"/>
        <v>236.82075064880863</v>
      </c>
      <c r="R199" s="304">
        <f t="shared" si="87"/>
        <v>263.1341673875651</v>
      </c>
      <c r="S199" s="304">
        <f t="shared" si="88"/>
        <v>0.017920027088561316</v>
      </c>
      <c r="T199" s="304">
        <f t="shared" si="89"/>
        <v>0.017920027088561316</v>
      </c>
    </row>
    <row r="200" spans="1:20" ht="12.75">
      <c r="A200" s="156" t="s">
        <v>819</v>
      </c>
      <c r="B200" s="546">
        <v>25</v>
      </c>
      <c r="C200" s="364" t="s">
        <v>827</v>
      </c>
      <c r="D200" s="361">
        <v>159.07</v>
      </c>
      <c r="E200" s="372" t="s">
        <v>828</v>
      </c>
      <c r="F200" s="382" t="str">
        <f t="shared" si="81"/>
        <v>mittel</v>
      </c>
      <c r="G200" s="304">
        <v>2.439</v>
      </c>
      <c r="H200" s="353">
        <v>0.11</v>
      </c>
      <c r="I200" s="353"/>
      <c r="J200" s="353">
        <f t="shared" si="82"/>
        <v>0.11</v>
      </c>
      <c r="K200" s="353">
        <v>684</v>
      </c>
      <c r="L200" s="353">
        <v>3.37E-05</v>
      </c>
      <c r="M200" s="353">
        <f t="shared" si="83"/>
        <v>0.0013774474457701853</v>
      </c>
      <c r="N200" s="353"/>
      <c r="O200" s="353">
        <f t="shared" si="84"/>
        <v>0.0013774474457701853</v>
      </c>
      <c r="P200" s="304">
        <f t="shared" si="85"/>
        <v>208.31003323567612</v>
      </c>
      <c r="Q200" s="304">
        <f t="shared" si="86"/>
        <v>154.79895724724682</v>
      </c>
      <c r="R200" s="304">
        <f t="shared" si="87"/>
        <v>171.9988413858298</v>
      </c>
      <c r="S200" s="304">
        <f t="shared" si="88"/>
        <v>0.02301963994027909</v>
      </c>
      <c r="T200" s="304">
        <f t="shared" si="89"/>
        <v>0.02301963994027909</v>
      </c>
    </row>
    <row r="201" spans="1:20" ht="12.75">
      <c r="A201" s="156" t="s">
        <v>820</v>
      </c>
      <c r="B201" s="546">
        <v>25</v>
      </c>
      <c r="C201" s="364" t="s">
        <v>821</v>
      </c>
      <c r="D201" s="361">
        <v>277.59</v>
      </c>
      <c r="E201" s="372" t="s">
        <v>822</v>
      </c>
      <c r="F201" s="382" t="str">
        <f t="shared" si="81"/>
        <v>gering</v>
      </c>
      <c r="G201" s="304">
        <v>3.76</v>
      </c>
      <c r="H201" s="353">
        <v>4.75E-06</v>
      </c>
      <c r="I201" s="353"/>
      <c r="J201" s="353">
        <f t="shared" si="82"/>
        <v>4.75E-06</v>
      </c>
      <c r="K201" s="353">
        <v>18.093</v>
      </c>
      <c r="L201" s="353">
        <v>6.35E-08</v>
      </c>
      <c r="M201" s="353">
        <f t="shared" si="83"/>
        <v>2.595487026896343E-06</v>
      </c>
      <c r="N201" s="353"/>
      <c r="O201" s="353">
        <f t="shared" si="84"/>
        <v>2.595487026896343E-06</v>
      </c>
      <c r="P201" s="304">
        <f t="shared" si="85"/>
        <v>160.31892765855065</v>
      </c>
      <c r="Q201" s="304">
        <f t="shared" si="86"/>
        <v>255.48238268826117</v>
      </c>
      <c r="R201" s="304">
        <f t="shared" si="87"/>
        <v>283.86931409806795</v>
      </c>
      <c r="S201" s="304">
        <f t="shared" si="88"/>
        <v>0.017137059017758194</v>
      </c>
      <c r="T201" s="304">
        <f t="shared" si="89"/>
        <v>0.017137059017758194</v>
      </c>
    </row>
    <row r="202" spans="1:20" ht="12.75">
      <c r="A202" s="156" t="s">
        <v>823</v>
      </c>
      <c r="B202" s="546">
        <v>25</v>
      </c>
      <c r="C202" s="364" t="s">
        <v>824</v>
      </c>
      <c r="D202" s="361">
        <v>222.93</v>
      </c>
      <c r="E202" s="372" t="s">
        <v>825</v>
      </c>
      <c r="F202" s="382" t="str">
        <f t="shared" si="81"/>
        <v>mittel</v>
      </c>
      <c r="G202" s="304">
        <v>2.912</v>
      </c>
      <c r="H202" s="353">
        <v>0.113</v>
      </c>
      <c r="I202" s="353"/>
      <c r="J202" s="353">
        <f t="shared" si="82"/>
        <v>0.113</v>
      </c>
      <c r="K202" s="353">
        <v>636.39</v>
      </c>
      <c r="L202" s="353">
        <v>7.591E-05</v>
      </c>
      <c r="M202" s="353">
        <f t="shared" si="83"/>
        <v>0.0031027310269559276</v>
      </c>
      <c r="N202" s="353"/>
      <c r="O202" s="353">
        <f t="shared" si="84"/>
        <v>0.0031027310269559276</v>
      </c>
      <c r="P202" s="304">
        <f t="shared" si="85"/>
        <v>177.64552810066849</v>
      </c>
      <c r="Q202" s="304">
        <f t="shared" si="86"/>
        <v>209.73231764493005</v>
      </c>
      <c r="R202" s="304">
        <f t="shared" si="87"/>
        <v>233.0359084943667</v>
      </c>
      <c r="S202" s="304">
        <f t="shared" si="88"/>
        <v>0.019249125403563296</v>
      </c>
      <c r="T202" s="304">
        <f t="shared" si="89"/>
        <v>0.019249125403563296</v>
      </c>
    </row>
    <row r="203" spans="1:20" ht="13.5" thickBot="1">
      <c r="A203" s="131"/>
      <c r="B203" s="539"/>
      <c r="C203" s="364"/>
      <c r="D203" s="361"/>
      <c r="E203" s="372"/>
      <c r="F203" s="372"/>
      <c r="G203" s="304"/>
      <c r="H203" s="353"/>
      <c r="I203" s="353"/>
      <c r="J203" s="353"/>
      <c r="K203" s="353"/>
      <c r="L203" s="353"/>
      <c r="M203" s="353"/>
      <c r="N203" s="353"/>
      <c r="O203" s="353"/>
      <c r="P203" s="304"/>
      <c r="Q203" s="304"/>
      <c r="R203" s="304"/>
      <c r="S203" s="304"/>
      <c r="T203" s="304"/>
    </row>
    <row r="204" spans="1:20" ht="12.75">
      <c r="A204" s="195" t="s">
        <v>829</v>
      </c>
      <c r="B204" s="541"/>
      <c r="C204" s="366"/>
      <c r="D204" s="373"/>
      <c r="E204" s="374"/>
      <c r="F204" s="374"/>
      <c r="G204" s="366"/>
      <c r="H204" s="354"/>
      <c r="I204" s="354"/>
      <c r="J204" s="354"/>
      <c r="K204" s="354"/>
      <c r="L204" s="354"/>
      <c r="M204" s="354"/>
      <c r="N204" s="354"/>
      <c r="O204" s="354"/>
      <c r="P204" s="383"/>
      <c r="Q204" s="366"/>
      <c r="R204" s="366"/>
      <c r="S204" s="366"/>
      <c r="T204" s="366"/>
    </row>
    <row r="205" spans="1:20" ht="12.75">
      <c r="A205" s="123" t="s">
        <v>455</v>
      </c>
      <c r="B205" s="547">
        <v>25</v>
      </c>
      <c r="C205" s="364" t="s">
        <v>830</v>
      </c>
      <c r="D205" s="361">
        <v>92.53</v>
      </c>
      <c r="E205" s="372" t="s">
        <v>831</v>
      </c>
      <c r="F205" s="382" t="str">
        <f>IF($M205&lt;0.00001226,"gering",IF($M205&lt;0.04087,"mittel","hoch"))</f>
        <v>mittel</v>
      </c>
      <c r="G205" s="364">
        <v>0.652</v>
      </c>
      <c r="H205" s="353">
        <v>16.4</v>
      </c>
      <c r="I205" s="353">
        <v>41000</v>
      </c>
      <c r="J205" s="353">
        <f>$H205/(EXP(-$I205/8.314*(1/298.15-1/(B205+273.15))))</f>
        <v>16.4</v>
      </c>
      <c r="K205" s="353">
        <v>65900</v>
      </c>
      <c r="L205" s="353">
        <v>3.04E-05</v>
      </c>
      <c r="M205" s="353">
        <v>0.00042508763905073967</v>
      </c>
      <c r="N205" s="353"/>
      <c r="O205" s="353">
        <f>$M205*EXP($N205*(1/298.15-1/(273.15+$B205)))</f>
        <v>0.00042508763905073967</v>
      </c>
      <c r="P205" s="304">
        <f>0.001*($B205+273.15)^1.75*SQRT((28.97+$D205)/(28.97*$D205))/(1*(20.1^(1/3)+($Q205)^(1/3))^2)/10000*86400*365</f>
        <v>270.7877908884959</v>
      </c>
      <c r="Q205" s="304">
        <f>0.9*$R205</f>
        <v>95.06766647927863</v>
      </c>
      <c r="R205" s="304">
        <f>(13.26*0.00001/(0.8904^1.14*$S205/(0.0001*86400*365)))^(1/0.589)</f>
        <v>105.6307405325318</v>
      </c>
      <c r="S205" s="304">
        <f>0.00000000000003595*298.15/(0.001*$D205^0.53)*3600*24*365</f>
        <v>0.030676835491977143</v>
      </c>
      <c r="T205" s="304">
        <f>0.00000000000003595*($B205+273.15)/(0.001*$D205^0.53)*3600*24*365</f>
        <v>0.030676835491977143</v>
      </c>
    </row>
    <row r="206" spans="1:20" ht="13.5" thickBot="1">
      <c r="A206" s="196"/>
      <c r="B206" s="545"/>
      <c r="C206" s="367"/>
      <c r="D206" s="379"/>
      <c r="E206" s="380"/>
      <c r="F206" s="380"/>
      <c r="G206" s="367"/>
      <c r="H206" s="257"/>
      <c r="I206" s="257"/>
      <c r="J206" s="257"/>
      <c r="K206" s="257"/>
      <c r="L206" s="257"/>
      <c r="M206" s="257"/>
      <c r="N206" s="257"/>
      <c r="O206" s="257"/>
      <c r="P206" s="558"/>
      <c r="Q206" s="386"/>
      <c r="R206" s="386"/>
      <c r="S206" s="386"/>
      <c r="T206" s="367"/>
    </row>
  </sheetData>
  <sheetProtection password="9C67" sheet="1" objects="1" scenarios="1" selectLockedCells="1"/>
  <conditionalFormatting sqref="F196:F202 F14:F34 F37:F43 F46:F55 F58 F62:F65 F68:F80 F83:F101 F104:F111 F114:F121 F124:F136 F139:F141 F144 F147:F181 F184:F186 F189:F193 F205">
    <cfRule type="cellIs" priority="1" dxfId="1" operator="equal" stopIfTrue="1">
      <formula>"hoch"</formula>
    </cfRule>
  </conditionalFormatting>
  <printOptions/>
  <pageMargins left="0.75" right="0.75" top="1" bottom="1" header="0.4921259845" footer="0.4921259845"/>
  <pageSetup fitToHeight="6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S38"/>
  <sheetViews>
    <sheetView workbookViewId="0" topLeftCell="A1">
      <pane xSplit="3" topLeftCell="D1" activePane="topRight" state="frozen"/>
      <selection pane="topLeft" activeCell="A1" sqref="A1"/>
      <selection pane="topRight" activeCell="O16" sqref="O16"/>
    </sheetView>
  </sheetViews>
  <sheetFormatPr defaultColWidth="11.421875" defaultRowHeight="12.75"/>
  <cols>
    <col min="1" max="1" width="11.421875" style="36" customWidth="1"/>
    <col min="2" max="2" width="6.421875" style="36" customWidth="1"/>
    <col min="3" max="3" width="11.421875" style="36" customWidth="1"/>
    <col min="4" max="4" width="8.8515625" style="36" customWidth="1"/>
    <col min="5" max="5" width="9.57421875" style="36" customWidth="1"/>
    <col min="6" max="6" width="10.7109375" style="36" customWidth="1"/>
    <col min="7" max="7" width="11.140625" style="36" customWidth="1"/>
    <col min="8" max="8" width="12.8515625" style="36" customWidth="1"/>
    <col min="9" max="9" width="8.421875" style="36" customWidth="1"/>
    <col min="10" max="10" width="10.28125" style="36" customWidth="1"/>
    <col min="11" max="11" width="10.28125" style="36" hidden="1" customWidth="1"/>
    <col min="12" max="12" width="8.7109375" style="36" customWidth="1"/>
    <col min="13" max="13" width="8.7109375" style="36" hidden="1" customWidth="1"/>
    <col min="14" max="14" width="14.8515625" style="95" customWidth="1"/>
    <col min="15" max="15" width="12.140625" style="95" customWidth="1"/>
    <col min="16" max="16" width="0" style="36" hidden="1" customWidth="1"/>
    <col min="17" max="17" width="13.421875" style="95" customWidth="1"/>
    <col min="18" max="18" width="9.28125" style="36" hidden="1" customWidth="1"/>
    <col min="19" max="19" width="12.57421875" style="95" customWidth="1"/>
    <col min="20" max="20" width="13.28125" style="36" customWidth="1"/>
    <col min="21" max="21" width="12.8515625" style="36" customWidth="1"/>
    <col min="22" max="16384" width="11.421875" style="36" customWidth="1"/>
  </cols>
  <sheetData>
    <row r="1" spans="1:3" ht="18">
      <c r="A1" s="94" t="s">
        <v>109</v>
      </c>
      <c r="C1" s="40"/>
    </row>
    <row r="2" spans="1:8" ht="18">
      <c r="A2" s="40"/>
      <c r="C2" s="40"/>
      <c r="H2" s="550" t="s">
        <v>1143</v>
      </c>
    </row>
    <row r="3" spans="1:11" ht="15.75">
      <c r="A3" s="41" t="s">
        <v>178</v>
      </c>
      <c r="B3" s="463"/>
      <c r="C3" s="41"/>
      <c r="D3" s="37"/>
      <c r="E3" s="98"/>
      <c r="G3" s="37"/>
      <c r="H3" s="550" t="s">
        <v>1067</v>
      </c>
      <c r="I3" s="37"/>
      <c r="J3" s="37"/>
      <c r="K3" s="37"/>
    </row>
    <row r="4" spans="1:19" ht="12.75">
      <c r="A4" s="99" t="s">
        <v>205</v>
      </c>
      <c r="B4" s="143"/>
      <c r="C4" s="100"/>
      <c r="D4" s="100"/>
      <c r="E4" s="100"/>
      <c r="F4" s="100"/>
      <c r="G4" s="104"/>
      <c r="H4" s="101"/>
      <c r="I4" s="101"/>
      <c r="J4" s="101"/>
      <c r="K4" s="101"/>
      <c r="L4" s="101"/>
      <c r="M4" s="101"/>
      <c r="N4" s="102"/>
      <c r="O4" s="102"/>
      <c r="P4" s="101"/>
      <c r="Q4" s="102"/>
      <c r="R4" s="101"/>
      <c r="S4" s="102"/>
    </row>
    <row r="5" spans="1:19" ht="12.75">
      <c r="A5" s="103" t="s">
        <v>179</v>
      </c>
      <c r="C5" s="104"/>
      <c r="D5" s="104"/>
      <c r="E5" s="104"/>
      <c r="F5" s="104"/>
      <c r="G5" s="104"/>
      <c r="H5" s="101"/>
      <c r="I5" s="101"/>
      <c r="J5" s="101"/>
      <c r="K5" s="101"/>
      <c r="L5" s="101"/>
      <c r="M5" s="101"/>
      <c r="N5" s="102"/>
      <c r="O5" s="102"/>
      <c r="P5" s="101"/>
      <c r="Q5" s="102"/>
      <c r="R5" s="101"/>
      <c r="S5" s="102"/>
    </row>
    <row r="6" spans="1:19" ht="20.25">
      <c r="A6" s="105" t="s">
        <v>202</v>
      </c>
      <c r="C6" s="106"/>
      <c r="D6" s="101"/>
      <c r="E6" s="101"/>
      <c r="F6" s="101"/>
      <c r="G6" s="101"/>
      <c r="H6" s="610" t="s">
        <v>1146</v>
      </c>
      <c r="I6" s="611"/>
      <c r="J6" s="611"/>
      <c r="K6" s="611"/>
      <c r="L6" s="611"/>
      <c r="M6" s="611"/>
      <c r="N6" s="612"/>
      <c r="O6" s="612"/>
      <c r="P6" s="611"/>
      <c r="Q6" s="612"/>
      <c r="R6" s="101"/>
      <c r="S6" s="612"/>
    </row>
    <row r="7" spans="1:19" ht="15">
      <c r="A7" s="106" t="s">
        <v>201</v>
      </c>
      <c r="C7" s="106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2"/>
      <c r="P7" s="101"/>
      <c r="Q7" s="102"/>
      <c r="R7" s="101"/>
      <c r="S7" s="102"/>
    </row>
    <row r="8" spans="1:19" ht="15.75">
      <c r="A8" s="105" t="s">
        <v>208</v>
      </c>
      <c r="C8" s="106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1"/>
      <c r="Q8" s="102"/>
      <c r="R8" s="101"/>
      <c r="S8" s="102"/>
    </row>
    <row r="9" spans="3:19" ht="13.5" thickBot="1">
      <c r="C9" s="106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102"/>
      <c r="P9" s="101"/>
      <c r="Q9" s="102"/>
      <c r="R9" s="101"/>
      <c r="S9" s="102"/>
    </row>
    <row r="10" spans="1:19" ht="12.75">
      <c r="A10" s="391"/>
      <c r="B10" s="392"/>
      <c r="C10" s="107" t="s">
        <v>200</v>
      </c>
      <c r="D10" s="108"/>
      <c r="E10" s="108"/>
      <c r="F10" s="108"/>
      <c r="G10" s="109"/>
      <c r="H10" s="110"/>
      <c r="I10" s="111" t="s">
        <v>203</v>
      </c>
      <c r="J10" s="108"/>
      <c r="K10" s="108"/>
      <c r="L10" s="110"/>
      <c r="M10" s="110"/>
      <c r="N10" s="112"/>
      <c r="O10" s="113" t="s">
        <v>1147</v>
      </c>
      <c r="P10" s="108"/>
      <c r="Q10" s="613"/>
      <c r="R10" s="110"/>
      <c r="S10" s="36"/>
    </row>
    <row r="11" spans="1:19" ht="15">
      <c r="A11" s="501" t="s">
        <v>1052</v>
      </c>
      <c r="B11" s="390" t="s">
        <v>1053</v>
      </c>
      <c r="C11" s="114" t="s">
        <v>197</v>
      </c>
      <c r="D11" s="114" t="s">
        <v>133</v>
      </c>
      <c r="E11" s="114" t="s">
        <v>497</v>
      </c>
      <c r="F11" s="114" t="s">
        <v>134</v>
      </c>
      <c r="G11" s="114" t="s">
        <v>135</v>
      </c>
      <c r="H11" s="114" t="s">
        <v>108</v>
      </c>
      <c r="I11" s="114" t="s">
        <v>106</v>
      </c>
      <c r="J11" s="114" t="s">
        <v>194</v>
      </c>
      <c r="K11" s="114"/>
      <c r="L11" s="114" t="s">
        <v>107</v>
      </c>
      <c r="M11" s="114"/>
      <c r="N11" s="115" t="s">
        <v>195</v>
      </c>
      <c r="O11" s="116" t="s">
        <v>207</v>
      </c>
      <c r="P11" s="114" t="s">
        <v>204</v>
      </c>
      <c r="Q11" s="398" t="s">
        <v>1059</v>
      </c>
      <c r="R11" s="114" t="s">
        <v>68</v>
      </c>
      <c r="S11" s="36"/>
    </row>
    <row r="12" spans="1:19" ht="15" thickBot="1">
      <c r="A12" s="430"/>
      <c r="B12" s="389"/>
      <c r="C12" s="117"/>
      <c r="D12" s="117"/>
      <c r="E12" s="117"/>
      <c r="F12" s="117"/>
      <c r="G12" s="117"/>
      <c r="H12" s="117"/>
      <c r="I12" s="117"/>
      <c r="J12" s="117" t="s">
        <v>97</v>
      </c>
      <c r="K12" s="117"/>
      <c r="L12" s="117" t="s">
        <v>97</v>
      </c>
      <c r="M12" s="117"/>
      <c r="N12" s="118" t="s">
        <v>196</v>
      </c>
      <c r="O12" s="119" t="s">
        <v>93</v>
      </c>
      <c r="P12" s="120" t="s">
        <v>93</v>
      </c>
      <c r="Q12" s="399" t="s">
        <v>98</v>
      </c>
      <c r="R12" s="120" t="s">
        <v>93</v>
      </c>
      <c r="S12" s="36"/>
    </row>
    <row r="13" spans="1:19" ht="12.75">
      <c r="A13" s="525" t="s">
        <v>140</v>
      </c>
      <c r="B13" s="529" t="s">
        <v>99</v>
      </c>
      <c r="C13" s="527" t="s">
        <v>198</v>
      </c>
      <c r="D13" s="364">
        <v>-0.827</v>
      </c>
      <c r="E13" s="364">
        <v>0.521</v>
      </c>
      <c r="F13" s="364">
        <v>0.419</v>
      </c>
      <c r="G13" s="364">
        <v>0.376</v>
      </c>
      <c r="H13" s="364">
        <v>0.836</v>
      </c>
      <c r="I13" s="515">
        <v>4</v>
      </c>
      <c r="J13" s="516">
        <v>0.1</v>
      </c>
      <c r="K13" s="516">
        <f aca="true" t="shared" si="0" ref="K13:K21">IF(J13=0,0.000001,J13)</f>
        <v>0.1</v>
      </c>
      <c r="L13" s="515">
        <v>1</v>
      </c>
      <c r="M13" s="516">
        <f aca="true" t="shared" si="1" ref="M13:M21">IF(L13=0,0.000001,L13)</f>
        <v>1</v>
      </c>
      <c r="N13" s="517">
        <f>10^($D13)*10^($I13*$E13)*$M13^($F13)*$K13^($G13)</f>
        <v>7.603262769401822</v>
      </c>
      <c r="O13" s="515">
        <v>500</v>
      </c>
      <c r="P13" s="349">
        <f aca="true" t="shared" si="2" ref="P13:P19">$R13/2</f>
        <v>2.5</v>
      </c>
      <c r="Q13" s="518">
        <f aca="true" t="shared" si="3" ref="Q13:Q21">2*$N13*($O13^($H13+1)-$P13^($H13+1))/(($O13^2-$P13^2)*($H13+1))</f>
        <v>2.9888987755865593</v>
      </c>
      <c r="R13" s="519">
        <v>5</v>
      </c>
      <c r="S13" s="36"/>
    </row>
    <row r="14" spans="1:19" ht="12.75">
      <c r="A14" s="525" t="s">
        <v>1051</v>
      </c>
      <c r="B14" s="529" t="s">
        <v>100</v>
      </c>
      <c r="C14" s="527" t="s">
        <v>198</v>
      </c>
      <c r="D14" s="364">
        <v>3.09</v>
      </c>
      <c r="E14" s="364"/>
      <c r="F14" s="364"/>
      <c r="G14" s="364"/>
      <c r="H14" s="364">
        <v>0.799</v>
      </c>
      <c r="I14" s="515">
        <v>6</v>
      </c>
      <c r="J14" s="516">
        <v>0.1</v>
      </c>
      <c r="K14" s="516">
        <f t="shared" si="0"/>
        <v>0.1</v>
      </c>
      <c r="L14" s="515">
        <v>10</v>
      </c>
      <c r="M14" s="516">
        <f t="shared" si="1"/>
        <v>10</v>
      </c>
      <c r="N14" s="517">
        <f aca="true" t="shared" si="4" ref="N14:N21">10^($D14)*10^($I14*$E14)*$M14^($F14)*$K14^($G14)</f>
        <v>1230.2687708123824</v>
      </c>
      <c r="O14" s="515">
        <v>500</v>
      </c>
      <c r="P14" s="349">
        <f t="shared" si="2"/>
        <v>25</v>
      </c>
      <c r="Q14" s="518">
        <f t="shared" si="3"/>
        <v>391.38649416371607</v>
      </c>
      <c r="R14" s="519">
        <v>50</v>
      </c>
      <c r="S14" s="36"/>
    </row>
    <row r="15" spans="1:19" ht="12.75">
      <c r="A15" s="525" t="s">
        <v>144</v>
      </c>
      <c r="B15" s="529" t="s">
        <v>101</v>
      </c>
      <c r="C15" s="527" t="s">
        <v>198</v>
      </c>
      <c r="D15" s="364">
        <v>0.764</v>
      </c>
      <c r="E15" s="364">
        <v>0.332</v>
      </c>
      <c r="F15" s="364">
        <v>0.41</v>
      </c>
      <c r="G15" s="364"/>
      <c r="H15" s="364">
        <v>0.758</v>
      </c>
      <c r="I15" s="515">
        <v>6</v>
      </c>
      <c r="J15" s="516">
        <v>0.1</v>
      </c>
      <c r="K15" s="516">
        <f t="shared" si="0"/>
        <v>0.1</v>
      </c>
      <c r="L15" s="515">
        <v>10</v>
      </c>
      <c r="M15" s="516">
        <f t="shared" si="1"/>
        <v>10</v>
      </c>
      <c r="N15" s="517">
        <f t="shared" si="4"/>
        <v>1465.5478409559125</v>
      </c>
      <c r="O15" s="515">
        <v>500</v>
      </c>
      <c r="P15" s="349">
        <f t="shared" si="2"/>
        <v>25</v>
      </c>
      <c r="Q15" s="518">
        <f t="shared" si="3"/>
        <v>369.5727949203001</v>
      </c>
      <c r="R15" s="519">
        <v>50</v>
      </c>
      <c r="S15" s="36"/>
    </row>
    <row r="16" spans="1:19" ht="12.75">
      <c r="A16" s="525" t="s">
        <v>145</v>
      </c>
      <c r="B16" s="529" t="s">
        <v>130</v>
      </c>
      <c r="C16" s="527" t="s">
        <v>199</v>
      </c>
      <c r="D16" s="364">
        <v>5.309</v>
      </c>
      <c r="E16" s="364">
        <v>-0.663</v>
      </c>
      <c r="F16" s="364">
        <v>0.732</v>
      </c>
      <c r="G16" s="364"/>
      <c r="H16" s="364">
        <v>0.628</v>
      </c>
      <c r="I16" s="515">
        <v>6</v>
      </c>
      <c r="J16" s="516">
        <v>0.1</v>
      </c>
      <c r="K16" s="516">
        <f t="shared" si="0"/>
        <v>0.1</v>
      </c>
      <c r="L16" s="515">
        <v>10</v>
      </c>
      <c r="M16" s="516">
        <f t="shared" si="1"/>
        <v>10</v>
      </c>
      <c r="N16" s="517">
        <f t="shared" si="4"/>
        <v>115.61122421920996</v>
      </c>
      <c r="O16" s="515">
        <v>500</v>
      </c>
      <c r="P16" s="349">
        <f t="shared" si="2"/>
        <v>25</v>
      </c>
      <c r="Q16" s="518">
        <f t="shared" si="3"/>
        <v>13.999873014652445</v>
      </c>
      <c r="R16" s="519">
        <v>50</v>
      </c>
      <c r="S16" s="36"/>
    </row>
    <row r="17" spans="1:19" ht="12.75">
      <c r="A17" s="525" t="s">
        <v>146</v>
      </c>
      <c r="B17" s="529" t="s">
        <v>102</v>
      </c>
      <c r="C17" s="527" t="s">
        <v>198</v>
      </c>
      <c r="D17" s="364">
        <v>-0.122</v>
      </c>
      <c r="E17" s="364">
        <v>0.365</v>
      </c>
      <c r="F17" s="364">
        <v>0.473</v>
      </c>
      <c r="G17" s="364">
        <v>0.226</v>
      </c>
      <c r="H17" s="364">
        <v>0.761</v>
      </c>
      <c r="I17" s="515">
        <v>6</v>
      </c>
      <c r="J17" s="516">
        <v>0.1</v>
      </c>
      <c r="K17" s="516">
        <f t="shared" si="0"/>
        <v>0.1</v>
      </c>
      <c r="L17" s="515">
        <v>10</v>
      </c>
      <c r="M17" s="516">
        <f t="shared" si="1"/>
        <v>10</v>
      </c>
      <c r="N17" s="517">
        <f t="shared" si="4"/>
        <v>206.53801558105297</v>
      </c>
      <c r="O17" s="515">
        <v>500</v>
      </c>
      <c r="P17" s="349">
        <f t="shared" si="2"/>
        <v>25</v>
      </c>
      <c r="Q17" s="518">
        <f t="shared" si="3"/>
        <v>52.97568473458842</v>
      </c>
      <c r="R17" s="519">
        <v>50</v>
      </c>
      <c r="S17" s="36"/>
    </row>
    <row r="18" spans="1:19" ht="12.75">
      <c r="A18" s="525" t="s">
        <v>139</v>
      </c>
      <c r="B18" s="529" t="s">
        <v>29</v>
      </c>
      <c r="C18" s="527" t="s">
        <v>199</v>
      </c>
      <c r="D18" s="364">
        <v>1.231</v>
      </c>
      <c r="E18" s="364">
        <v>0.432</v>
      </c>
      <c r="F18" s="364">
        <v>0.465</v>
      </c>
      <c r="G18" s="364"/>
      <c r="H18" s="364">
        <v>0.61</v>
      </c>
      <c r="I18" s="515">
        <v>6</v>
      </c>
      <c r="J18" s="516">
        <v>0.1</v>
      </c>
      <c r="K18" s="516">
        <f t="shared" si="0"/>
        <v>0.1</v>
      </c>
      <c r="L18" s="515">
        <v>10</v>
      </c>
      <c r="M18" s="516">
        <f t="shared" si="1"/>
        <v>10</v>
      </c>
      <c r="N18" s="517">
        <f t="shared" si="4"/>
        <v>19408.85877592781</v>
      </c>
      <c r="O18" s="515">
        <v>250</v>
      </c>
      <c r="P18" s="349">
        <f t="shared" si="2"/>
        <v>12.5</v>
      </c>
      <c r="Q18" s="518">
        <f t="shared" si="3"/>
        <v>2783.479822690889</v>
      </c>
      <c r="R18" s="519">
        <v>25</v>
      </c>
      <c r="S18" s="36"/>
    </row>
    <row r="19" spans="1:19" ht="12.75">
      <c r="A19" s="525" t="s">
        <v>137</v>
      </c>
      <c r="B19" s="529" t="s">
        <v>131</v>
      </c>
      <c r="C19" s="527" t="s">
        <v>198</v>
      </c>
      <c r="D19" s="364">
        <v>2.593</v>
      </c>
      <c r="E19" s="364">
        <v>-0.333</v>
      </c>
      <c r="F19" s="364">
        <v>0.776</v>
      </c>
      <c r="G19" s="364">
        <v>-0.292</v>
      </c>
      <c r="H19" s="364">
        <v>0.846</v>
      </c>
      <c r="I19" s="515">
        <v>6</v>
      </c>
      <c r="J19" s="516">
        <v>0.1</v>
      </c>
      <c r="K19" s="516">
        <f t="shared" si="0"/>
        <v>0.1</v>
      </c>
      <c r="L19" s="515">
        <v>10</v>
      </c>
      <c r="M19" s="516">
        <f t="shared" si="1"/>
        <v>10</v>
      </c>
      <c r="N19" s="517">
        <f t="shared" si="4"/>
        <v>46.02565735813559</v>
      </c>
      <c r="O19" s="515">
        <v>100</v>
      </c>
      <c r="P19" s="349">
        <f t="shared" si="2"/>
        <v>5</v>
      </c>
      <c r="Q19" s="518">
        <f t="shared" si="3"/>
        <v>24.49964398166038</v>
      </c>
      <c r="R19" s="519">
        <v>10</v>
      </c>
      <c r="S19" s="36"/>
    </row>
    <row r="20" spans="1:19" ht="12.75">
      <c r="A20" s="525" t="s">
        <v>418</v>
      </c>
      <c r="B20" s="529" t="s">
        <v>132</v>
      </c>
      <c r="C20" s="527" t="s">
        <v>199</v>
      </c>
      <c r="D20" s="364">
        <v>0.718</v>
      </c>
      <c r="E20" s="364">
        <v>0.216</v>
      </c>
      <c r="F20" s="364">
        <v>0.729</v>
      </c>
      <c r="G20" s="364"/>
      <c r="H20" s="364">
        <v>0.857</v>
      </c>
      <c r="I20" s="515">
        <v>6</v>
      </c>
      <c r="J20" s="516">
        <v>0.1</v>
      </c>
      <c r="K20" s="516">
        <f t="shared" si="0"/>
        <v>0.1</v>
      </c>
      <c r="L20" s="515">
        <v>10</v>
      </c>
      <c r="M20" s="516">
        <f t="shared" si="1"/>
        <v>10</v>
      </c>
      <c r="N20" s="517">
        <f t="shared" si="4"/>
        <v>553.3501092157371</v>
      </c>
      <c r="O20" s="515">
        <v>10</v>
      </c>
      <c r="P20" s="349">
        <v>1</v>
      </c>
      <c r="Q20" s="518">
        <f t="shared" si="3"/>
        <v>427.07491659877223</v>
      </c>
      <c r="R20" s="519"/>
      <c r="S20" s="36"/>
    </row>
    <row r="21" spans="1:19" ht="13.5" thickBot="1">
      <c r="A21" s="526" t="s">
        <v>149</v>
      </c>
      <c r="B21" s="530" t="s">
        <v>104</v>
      </c>
      <c r="C21" s="528" t="s">
        <v>198</v>
      </c>
      <c r="D21" s="365">
        <v>0.248</v>
      </c>
      <c r="E21" s="365">
        <v>0.456</v>
      </c>
      <c r="F21" s="365">
        <v>0.381</v>
      </c>
      <c r="G21" s="365">
        <v>0.27</v>
      </c>
      <c r="H21" s="365">
        <v>0.575</v>
      </c>
      <c r="I21" s="520">
        <v>6</v>
      </c>
      <c r="J21" s="521">
        <v>0.1</v>
      </c>
      <c r="K21" s="521">
        <f t="shared" si="0"/>
        <v>0.1</v>
      </c>
      <c r="L21" s="520">
        <v>10</v>
      </c>
      <c r="M21" s="521">
        <f t="shared" si="1"/>
        <v>10</v>
      </c>
      <c r="N21" s="522">
        <f t="shared" si="4"/>
        <v>1244.5146117713869</v>
      </c>
      <c r="O21" s="520">
        <v>5000</v>
      </c>
      <c r="P21" s="350">
        <f>$R21/2</f>
        <v>250</v>
      </c>
      <c r="Q21" s="523">
        <f t="shared" si="3"/>
        <v>42.06088190801029</v>
      </c>
      <c r="R21" s="524">
        <v>500</v>
      </c>
      <c r="S21" s="36"/>
    </row>
    <row r="22" spans="15:19" ht="14.25">
      <c r="O22" s="127" t="s">
        <v>206</v>
      </c>
      <c r="S22" s="36"/>
    </row>
    <row r="23" spans="15:19" ht="14.25">
      <c r="O23" s="127"/>
      <c r="S23" s="36"/>
    </row>
    <row r="24" spans="15:19" ht="14.25">
      <c r="O24" s="127"/>
      <c r="S24" s="36"/>
    </row>
    <row r="25" spans="1:19" ht="14.25">
      <c r="A25" s="45" t="s">
        <v>1062</v>
      </c>
      <c r="O25" s="127"/>
      <c r="S25" s="36"/>
    </row>
    <row r="26" spans="15:19" ht="15" thickBot="1">
      <c r="O26" s="127"/>
      <c r="S26" s="36"/>
    </row>
    <row r="27" spans="1:19" ht="15" thickBot="1">
      <c r="A27" s="394"/>
      <c r="B27" s="397"/>
      <c r="C27" s="395"/>
      <c r="D27" s="395"/>
      <c r="E27" s="396" t="s">
        <v>1063</v>
      </c>
      <c r="F27" s="395"/>
      <c r="G27" s="395"/>
      <c r="H27" s="397"/>
      <c r="I27" s="396" t="s">
        <v>203</v>
      </c>
      <c r="J27" s="395"/>
      <c r="K27" s="395"/>
      <c r="L27" s="397"/>
      <c r="M27" s="395"/>
      <c r="N27" s="511" t="s">
        <v>1058</v>
      </c>
      <c r="O27" s="127"/>
      <c r="S27" s="36"/>
    </row>
    <row r="28" spans="1:19" ht="14.25">
      <c r="A28" s="532" t="s">
        <v>1052</v>
      </c>
      <c r="B28" s="531" t="s">
        <v>1053</v>
      </c>
      <c r="C28" s="426"/>
      <c r="D28" s="505"/>
      <c r="E28" s="506"/>
      <c r="F28" s="506"/>
      <c r="G28" s="506"/>
      <c r="H28" s="504"/>
      <c r="I28" s="323" t="s">
        <v>106</v>
      </c>
      <c r="J28" s="322" t="s">
        <v>194</v>
      </c>
      <c r="K28" s="322"/>
      <c r="L28" s="322" t="s">
        <v>107</v>
      </c>
      <c r="M28" s="108"/>
      <c r="N28" s="512"/>
      <c r="S28" s="36"/>
    </row>
    <row r="29" spans="1:14" ht="13.5" thickBot="1">
      <c r="A29" s="430"/>
      <c r="B29" s="431"/>
      <c r="C29" s="507"/>
      <c r="D29" s="508" t="s">
        <v>154</v>
      </c>
      <c r="E29" s="509" t="s">
        <v>1054</v>
      </c>
      <c r="F29" s="509" t="s">
        <v>1055</v>
      </c>
      <c r="G29" s="509" t="s">
        <v>1056</v>
      </c>
      <c r="H29" s="510" t="s">
        <v>1057</v>
      </c>
      <c r="I29" s="492"/>
      <c r="J29" s="514" t="s">
        <v>97</v>
      </c>
      <c r="K29" s="514"/>
      <c r="L29" s="514" t="s">
        <v>97</v>
      </c>
      <c r="M29" s="393"/>
      <c r="N29" s="513" t="s">
        <v>98</v>
      </c>
    </row>
    <row r="30" spans="1:14" ht="12.75">
      <c r="A30" s="502" t="s">
        <v>138</v>
      </c>
      <c r="B30" s="531" t="s">
        <v>96</v>
      </c>
      <c r="C30" s="426"/>
      <c r="D30" s="497">
        <v>349</v>
      </c>
      <c r="E30" s="499">
        <v>942</v>
      </c>
      <c r="F30" s="499">
        <v>9.42</v>
      </c>
      <c r="G30" s="499">
        <v>1.79</v>
      </c>
      <c r="H30" s="495">
        <v>-0.16</v>
      </c>
      <c r="I30" s="493">
        <v>6</v>
      </c>
      <c r="J30" s="172">
        <v>0.1</v>
      </c>
      <c r="K30" s="172">
        <f aca="true" t="shared" si="5" ref="K30:K38">IF(J30=0,0.000001,J30)</f>
        <v>0.1</v>
      </c>
      <c r="L30" s="30">
        <v>10</v>
      </c>
      <c r="M30" s="101"/>
      <c r="N30" s="401">
        <f>1.5*(D30+E30*L30/100+F30*J30/100)*10^(G30*I30+H30*I30^2-5)</f>
        <v>634.8925652322918</v>
      </c>
    </row>
    <row r="31" spans="1:14" ht="12.75">
      <c r="A31" s="502" t="s">
        <v>139</v>
      </c>
      <c r="B31" s="531" t="s">
        <v>29</v>
      </c>
      <c r="C31" s="426"/>
      <c r="D31" s="497">
        <f>IF($I31&lt;5.5,13.5,0.0008)</f>
        <v>0.0008</v>
      </c>
      <c r="E31" s="499">
        <f>IF($I31&lt;5.5,27,0.002)</f>
        <v>0.002</v>
      </c>
      <c r="F31" s="499">
        <f>IF($I31&lt;5.5,0.27,0)</f>
        <v>0</v>
      </c>
      <c r="G31" s="499">
        <f>IF($I31&lt;5.5,1.14,2.85)</f>
        <v>2.85</v>
      </c>
      <c r="H31" s="495">
        <f>IF($I31&lt;5.5,0,-0.17)</f>
        <v>-0.17</v>
      </c>
      <c r="I31" s="493">
        <v>6</v>
      </c>
      <c r="J31" s="172">
        <v>0.1</v>
      </c>
      <c r="K31" s="172">
        <f t="shared" si="5"/>
        <v>0.1</v>
      </c>
      <c r="L31" s="30">
        <v>10</v>
      </c>
      <c r="M31" s="101"/>
      <c r="N31" s="401">
        <f aca="true" t="shared" si="6" ref="N31:N38">1.5*(D31+E31*L31/100+F31*J31/100)*10^(G31*I31+H31*I31^2-5)</f>
        <v>1432.488879032156</v>
      </c>
    </row>
    <row r="32" spans="1:14" ht="12.75">
      <c r="A32" s="502" t="s">
        <v>140</v>
      </c>
      <c r="B32" s="531" t="s">
        <v>99</v>
      </c>
      <c r="C32" s="426"/>
      <c r="D32" s="497">
        <f>IF($I32&lt;6.5,2408,303)</f>
        <v>2408</v>
      </c>
      <c r="E32" s="499">
        <f>IF($I32&lt;6.5,4309,543)</f>
        <v>4309</v>
      </c>
      <c r="F32" s="499">
        <f>IF($I32&lt;6.5,129.26,16.27)</f>
        <v>129.26</v>
      </c>
      <c r="G32" s="499">
        <f>IF($I32&lt;6.5,0.57,0.97)</f>
        <v>0.57</v>
      </c>
      <c r="H32" s="495">
        <f>IF($I32&lt;6.5,0,-0.04)</f>
        <v>0</v>
      </c>
      <c r="I32" s="493">
        <v>4</v>
      </c>
      <c r="J32" s="172">
        <v>0.1</v>
      </c>
      <c r="K32" s="172">
        <f t="shared" si="5"/>
        <v>0.1</v>
      </c>
      <c r="L32" s="30">
        <v>1</v>
      </c>
      <c r="M32" s="101"/>
      <c r="N32" s="401">
        <f t="shared" si="6"/>
        <v>7.006053016567407</v>
      </c>
    </row>
    <row r="33" spans="1:14" ht="12.75">
      <c r="A33" s="502" t="s">
        <v>1051</v>
      </c>
      <c r="B33" s="531" t="s">
        <v>100</v>
      </c>
      <c r="C33" s="426"/>
      <c r="D33" s="497">
        <v>15.18</v>
      </c>
      <c r="E33" s="499">
        <v>61.14</v>
      </c>
      <c r="F33" s="499">
        <v>0</v>
      </c>
      <c r="G33" s="499">
        <v>2.51</v>
      </c>
      <c r="H33" s="495">
        <v>-0.21</v>
      </c>
      <c r="I33" s="493">
        <v>6</v>
      </c>
      <c r="J33" s="172">
        <v>0.1</v>
      </c>
      <c r="K33" s="172">
        <f t="shared" si="5"/>
        <v>0.1</v>
      </c>
      <c r="L33" s="30">
        <v>10</v>
      </c>
      <c r="M33" s="101"/>
      <c r="N33" s="401">
        <f t="shared" si="6"/>
        <v>10100.631074343804</v>
      </c>
    </row>
    <row r="34" spans="1:14" ht="12.75">
      <c r="A34" s="502" t="s">
        <v>144</v>
      </c>
      <c r="B34" s="531" t="s">
        <v>101</v>
      </c>
      <c r="C34" s="426"/>
      <c r="D34" s="497">
        <v>2168</v>
      </c>
      <c r="E34" s="499">
        <v>8673</v>
      </c>
      <c r="F34" s="499">
        <v>86.73</v>
      </c>
      <c r="G34" s="499">
        <v>1.36</v>
      </c>
      <c r="H34" s="495">
        <v>-0.12</v>
      </c>
      <c r="I34" s="493">
        <v>6</v>
      </c>
      <c r="J34" s="172">
        <v>0.1</v>
      </c>
      <c r="K34" s="172">
        <f t="shared" si="5"/>
        <v>0.1</v>
      </c>
      <c r="L34" s="30">
        <v>10</v>
      </c>
      <c r="M34" s="101"/>
      <c r="N34" s="401">
        <f t="shared" si="6"/>
        <v>314.99618227955324</v>
      </c>
    </row>
    <row r="35" spans="1:14" ht="12.75">
      <c r="A35" s="502" t="s">
        <v>146</v>
      </c>
      <c r="B35" s="531" t="s">
        <v>102</v>
      </c>
      <c r="C35" s="426"/>
      <c r="D35" s="497">
        <f>IF($I35&lt;6.5,42465,75)</f>
        <v>42465</v>
      </c>
      <c r="E35" s="499">
        <f>IF($I35&lt;6.5,424650,887)</f>
        <v>424650</v>
      </c>
      <c r="F35" s="499">
        <f>IF($I35&lt;6.5,0,0)</f>
        <v>0</v>
      </c>
      <c r="G35" s="499">
        <f>IF($I35&lt;6.5,0.4,1.47)</f>
        <v>0.4</v>
      </c>
      <c r="H35" s="495">
        <f>IF($I35&lt;6.5,0,-0.1)</f>
        <v>0</v>
      </c>
      <c r="I35" s="493">
        <v>6</v>
      </c>
      <c r="J35" s="172">
        <v>0.1</v>
      </c>
      <c r="K35" s="172">
        <f t="shared" si="5"/>
        <v>0.1</v>
      </c>
      <c r="L35" s="30">
        <v>10</v>
      </c>
      <c r="M35" s="101"/>
      <c r="N35" s="401">
        <f t="shared" si="6"/>
        <v>320.0017719421629</v>
      </c>
    </row>
    <row r="36" spans="1:14" ht="12.75">
      <c r="A36" s="502" t="s">
        <v>147</v>
      </c>
      <c r="B36" s="531" t="s">
        <v>103</v>
      </c>
      <c r="C36" s="426"/>
      <c r="D36" s="497">
        <f>IF($I36&lt;5.5,55.76,0.00089)</f>
        <v>0.00089</v>
      </c>
      <c r="E36" s="499">
        <f>IF($I36&lt;5.5,48.16,0.0024)</f>
        <v>0.0024</v>
      </c>
      <c r="F36" s="499">
        <f>IF($I36&lt;5.5,0.48,0.0055)</f>
        <v>0.0055</v>
      </c>
      <c r="G36" s="499">
        <f>IF($I36&lt;5.5,1.07,2.82)</f>
        <v>2.82</v>
      </c>
      <c r="H36" s="495">
        <f>IF($I36&lt;5.5,0,-0.163)</f>
        <v>-0.163</v>
      </c>
      <c r="I36" s="493">
        <v>6</v>
      </c>
      <c r="J36" s="172">
        <v>0.1</v>
      </c>
      <c r="K36" s="172">
        <f t="shared" si="5"/>
        <v>0.1</v>
      </c>
      <c r="L36" s="30">
        <v>10</v>
      </c>
      <c r="M36" s="101"/>
      <c r="N36" s="401">
        <f t="shared" si="6"/>
        <v>1919.899067230932</v>
      </c>
    </row>
    <row r="37" spans="1:14" ht="12.75">
      <c r="A37" s="502" t="s">
        <v>149</v>
      </c>
      <c r="B37" s="531" t="s">
        <v>104</v>
      </c>
      <c r="C37" s="426"/>
      <c r="D37" s="497">
        <f>IF($I37&lt;5.5,144,130)</f>
        <v>130</v>
      </c>
      <c r="E37" s="499">
        <f>IF($I37&lt;5.5,864,598)</f>
        <v>598</v>
      </c>
      <c r="F37" s="499">
        <f>IF($I37&lt;5.5,4.32,2.99)</f>
        <v>2.99</v>
      </c>
      <c r="G37" s="499">
        <f>IF($I37&lt;5.5,0.77,0.89)</f>
        <v>0.89</v>
      </c>
      <c r="H37" s="495">
        <f>IF($I37&lt;5.5,0,-0.02)</f>
        <v>-0.02</v>
      </c>
      <c r="I37" s="493">
        <v>6</v>
      </c>
      <c r="J37" s="172">
        <v>0.1</v>
      </c>
      <c r="K37" s="172">
        <f t="shared" si="5"/>
        <v>0.1</v>
      </c>
      <c r="L37" s="30">
        <v>10</v>
      </c>
      <c r="M37" s="101"/>
      <c r="N37" s="401">
        <f t="shared" si="6"/>
        <v>118.68458313318939</v>
      </c>
    </row>
    <row r="38" spans="1:14" ht="13.5" thickBot="1">
      <c r="A38" s="503" t="s">
        <v>150</v>
      </c>
      <c r="B38" s="510" t="s">
        <v>105</v>
      </c>
      <c r="C38" s="507"/>
      <c r="D38" s="498">
        <v>0</v>
      </c>
      <c r="E38" s="500">
        <v>14367</v>
      </c>
      <c r="F38" s="500">
        <v>431</v>
      </c>
      <c r="G38" s="500">
        <v>1.03</v>
      </c>
      <c r="H38" s="496">
        <v>-0.08</v>
      </c>
      <c r="I38" s="494">
        <v>6</v>
      </c>
      <c r="J38" s="173">
        <v>0.1</v>
      </c>
      <c r="K38" s="173">
        <f t="shared" si="5"/>
        <v>0.1</v>
      </c>
      <c r="L38" s="31">
        <v>10</v>
      </c>
      <c r="M38" s="393"/>
      <c r="N38" s="513">
        <f t="shared" si="6"/>
        <v>43.01179988960309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"/>
  <dimension ref="A1:F206"/>
  <sheetViews>
    <sheetView workbookViewId="0" topLeftCell="A1">
      <pane ySplit="12" topLeftCell="BM128" activePane="bottomLeft" state="frozen"/>
      <selection pane="topLeft" activeCell="A1" sqref="A1"/>
      <selection pane="bottomLeft" activeCell="B169" sqref="B169"/>
    </sheetView>
  </sheetViews>
  <sheetFormatPr defaultColWidth="11.421875" defaultRowHeight="12.75"/>
  <cols>
    <col min="1" max="1" width="31.140625" style="36" customWidth="1"/>
    <col min="2" max="2" width="10.00390625" style="95" customWidth="1"/>
    <col min="3" max="3" width="8.57421875" style="36" customWidth="1"/>
    <col min="4" max="4" width="10.00390625" style="95" customWidth="1"/>
    <col min="5" max="7" width="11.421875" style="36" customWidth="1"/>
    <col min="8" max="8" width="12.7109375" style="36" customWidth="1"/>
    <col min="9" max="16384" width="11.421875" style="36" customWidth="1"/>
  </cols>
  <sheetData>
    <row r="1" ht="18">
      <c r="A1" s="40" t="s">
        <v>111</v>
      </c>
    </row>
    <row r="2" ht="18">
      <c r="A2" s="40"/>
    </row>
    <row r="3" spans="1:5" ht="12.75">
      <c r="A3" s="41" t="s">
        <v>1096</v>
      </c>
      <c r="B3" s="555"/>
      <c r="C3" s="556"/>
      <c r="D3" s="36"/>
      <c r="E3" s="37"/>
    </row>
    <row r="4" spans="1:5" ht="14.25">
      <c r="A4" s="99" t="s">
        <v>1094</v>
      </c>
      <c r="B4" s="100"/>
      <c r="C4" s="100"/>
      <c r="D4" s="100"/>
      <c r="E4" s="100"/>
    </row>
    <row r="5" spans="1:5" ht="12.75">
      <c r="A5" s="103"/>
      <c r="B5" s="104"/>
      <c r="C5" s="104"/>
      <c r="D5" s="104"/>
      <c r="E5" s="104"/>
    </row>
    <row r="6" spans="1:3" ht="18.75">
      <c r="A6" s="105" t="s">
        <v>368</v>
      </c>
      <c r="C6" s="550" t="s">
        <v>1143</v>
      </c>
    </row>
    <row r="7" spans="1:3" ht="18.75">
      <c r="A7" s="105" t="s">
        <v>209</v>
      </c>
      <c r="C7" s="550" t="s">
        <v>1148</v>
      </c>
    </row>
    <row r="8" ht="15.75">
      <c r="C8" s="614" t="s">
        <v>1149</v>
      </c>
    </row>
    <row r="9" ht="13.5" thickBot="1"/>
    <row r="10" spans="1:4" ht="14.25">
      <c r="A10" s="128" t="s">
        <v>110</v>
      </c>
      <c r="B10" s="128" t="s">
        <v>194</v>
      </c>
      <c r="C10" s="400" t="s">
        <v>221</v>
      </c>
      <c r="D10" s="36"/>
    </row>
    <row r="11" spans="1:4" ht="12.75">
      <c r="A11" s="180" t="s">
        <v>516</v>
      </c>
      <c r="B11" s="180" t="s">
        <v>97</v>
      </c>
      <c r="C11" s="401" t="s">
        <v>98</v>
      </c>
      <c r="D11" s="36"/>
    </row>
    <row r="12" spans="1:4" ht="13.5" thickBot="1">
      <c r="A12" s="117"/>
      <c r="B12" s="117"/>
      <c r="C12" s="402"/>
      <c r="D12" s="36"/>
    </row>
    <row r="13" spans="1:4" ht="12.75">
      <c r="A13" s="157" t="s">
        <v>339</v>
      </c>
      <c r="B13" s="349"/>
      <c r="C13" s="404"/>
      <c r="D13" s="36"/>
    </row>
    <row r="14" spans="1:4" ht="12.75">
      <c r="A14" s="187" t="s">
        <v>506</v>
      </c>
      <c r="B14" s="310">
        <v>0.1</v>
      </c>
      <c r="C14" s="401">
        <f>$B14/100*10^Stoffdaten!$G14</f>
        <v>0.043752210515825236</v>
      </c>
      <c r="D14" s="36"/>
    </row>
    <row r="15" spans="1:4" ht="12.75">
      <c r="A15" s="187" t="s">
        <v>505</v>
      </c>
      <c r="B15" s="310">
        <v>0.1</v>
      </c>
      <c r="C15" s="401">
        <f>$B15/100*10^Stoffdaten!$G15</f>
        <v>0.035075187395256814</v>
      </c>
      <c r="D15" s="36"/>
    </row>
    <row r="16" spans="1:4" ht="12.75">
      <c r="A16" s="187" t="s">
        <v>346</v>
      </c>
      <c r="B16" s="310">
        <v>0.1</v>
      </c>
      <c r="C16" s="401">
        <f>$B16/100*10^Stoffdaten!$G16</f>
        <v>0.08072350302488383</v>
      </c>
      <c r="D16" s="36"/>
    </row>
    <row r="17" spans="1:4" ht="12.75">
      <c r="A17" s="187" t="s">
        <v>342</v>
      </c>
      <c r="B17" s="310">
        <v>0.1</v>
      </c>
      <c r="C17" s="401">
        <f>$B17/100*10^Stoffdaten!$G17</f>
        <v>0.06776415076106751</v>
      </c>
      <c r="D17" s="36"/>
    </row>
    <row r="18" spans="1:4" ht="12.75">
      <c r="A18" s="187" t="s">
        <v>347</v>
      </c>
      <c r="B18" s="310">
        <v>0.1</v>
      </c>
      <c r="C18" s="401">
        <f>$B18/100*10^Stoffdaten!$G18</f>
        <v>0.08974287945007488</v>
      </c>
      <c r="D18" s="36"/>
    </row>
    <row r="19" spans="1:4" ht="12.75">
      <c r="A19" s="187" t="s">
        <v>350</v>
      </c>
      <c r="B19" s="310">
        <v>0.1</v>
      </c>
      <c r="C19" s="401">
        <f>$B19/100*10^Stoffdaten!$G19</f>
        <v>0.14893610777109165</v>
      </c>
      <c r="D19" s="36"/>
    </row>
    <row r="20" spans="1:4" ht="12.75">
      <c r="A20" s="187" t="s">
        <v>507</v>
      </c>
      <c r="B20" s="310">
        <v>0.1</v>
      </c>
      <c r="C20" s="401">
        <f>$B20/100*10^Stoffdaten!$G20</f>
        <v>0.12473835142429433</v>
      </c>
      <c r="D20" s="36"/>
    </row>
    <row r="21" spans="1:4" ht="12.75">
      <c r="A21" s="187" t="s">
        <v>348</v>
      </c>
      <c r="B21" s="310">
        <v>0.1</v>
      </c>
      <c r="C21" s="401">
        <f>$B21/100*10^Stoffdaten!$G21</f>
        <v>0.16557699634695286</v>
      </c>
      <c r="D21" s="36"/>
    </row>
    <row r="22" spans="1:4" ht="12.75">
      <c r="A22" s="187" t="s">
        <v>370</v>
      </c>
      <c r="B22" s="310">
        <v>0.1</v>
      </c>
      <c r="C22" s="401">
        <f>$B22/100*10^Stoffdaten!$G22</f>
        <v>0.2747894153102399</v>
      </c>
      <c r="D22" s="36"/>
    </row>
    <row r="23" spans="1:4" ht="12.75">
      <c r="A23" s="187" t="s">
        <v>369</v>
      </c>
      <c r="B23" s="310">
        <v>0.1</v>
      </c>
      <c r="C23" s="401">
        <f>$B23/100*10^Stoffdaten!$G23</f>
        <v>0.23014418174085108</v>
      </c>
      <c r="D23" s="36"/>
    </row>
    <row r="24" spans="1:4" ht="12.75">
      <c r="A24" s="187" t="s">
        <v>349</v>
      </c>
      <c r="B24" s="310">
        <v>0.1</v>
      </c>
      <c r="C24" s="401">
        <f>$B24/100*10^Stoffdaten!$G24</f>
        <v>0.3054921113215514</v>
      </c>
      <c r="D24" s="36"/>
    </row>
    <row r="25" spans="1:4" ht="12.75">
      <c r="A25" s="187" t="s">
        <v>508</v>
      </c>
      <c r="B25" s="310">
        <v>0.1</v>
      </c>
      <c r="C25" s="401">
        <f>$B25/100*10^Stoffdaten!$G25</f>
        <v>0.5069907082747048</v>
      </c>
      <c r="D25" s="36"/>
    </row>
    <row r="26" spans="1:4" ht="12.75">
      <c r="A26" s="187" t="s">
        <v>509</v>
      </c>
      <c r="B26" s="310">
        <v>0.1</v>
      </c>
      <c r="C26" s="401">
        <f>$B26/100*10^Stoffdaten!$G26</f>
        <v>0.27542287033381685</v>
      </c>
      <c r="D26" s="36"/>
    </row>
    <row r="27" spans="1:4" ht="12.75">
      <c r="A27" s="187" t="s">
        <v>504</v>
      </c>
      <c r="B27" s="310">
        <v>0.1</v>
      </c>
      <c r="C27" s="401">
        <f>$B27/100*10^Stoffdaten!$G27</f>
        <v>0.5623413251903493</v>
      </c>
      <c r="D27" s="36"/>
    </row>
    <row r="28" spans="1:4" ht="12.75">
      <c r="A28" s="187" t="s">
        <v>510</v>
      </c>
      <c r="B28" s="310">
        <v>0.1</v>
      </c>
      <c r="C28" s="401">
        <f>$B28/100*10^Stoffdaten!$G28</f>
        <v>0.9354056741475527</v>
      </c>
      <c r="D28" s="36"/>
    </row>
    <row r="29" spans="1:4" ht="12.75">
      <c r="A29" s="187" t="s">
        <v>351</v>
      </c>
      <c r="B29" s="310">
        <v>0.1</v>
      </c>
      <c r="C29" s="401">
        <f>$B29/100*10^Stoffdaten!$G29</f>
        <v>1.7218685749860085</v>
      </c>
      <c r="D29" s="36"/>
    </row>
    <row r="30" spans="1:4" ht="12.75">
      <c r="A30" s="187" t="s">
        <v>512</v>
      </c>
      <c r="B30" s="310">
        <v>0.1</v>
      </c>
      <c r="C30" s="401">
        <f>$B30/100*10^Stoffdaten!$G30</f>
        <v>5.861381645140287</v>
      </c>
      <c r="D30" s="36"/>
    </row>
    <row r="31" spans="1:4" ht="12.75">
      <c r="A31" s="187" t="s">
        <v>511</v>
      </c>
      <c r="B31" s="310">
        <v>0.1</v>
      </c>
      <c r="C31" s="401">
        <f>$B31/100*10^Stoffdaten!$G31</f>
        <v>19.952623149688794</v>
      </c>
      <c r="D31" s="36"/>
    </row>
    <row r="32" spans="1:4" ht="12.75">
      <c r="A32" s="187" t="s">
        <v>515</v>
      </c>
      <c r="B32" s="310">
        <v>0.1</v>
      </c>
      <c r="C32" s="401">
        <f>$B32/100*10^Stoffdaten!$G32</f>
        <v>67.92036326171855</v>
      </c>
      <c r="D32" s="36"/>
    </row>
    <row r="33" spans="1:4" ht="12.75">
      <c r="A33" s="187" t="s">
        <v>513</v>
      </c>
      <c r="B33" s="310">
        <v>0.1</v>
      </c>
      <c r="C33" s="401">
        <f>$B33/100*10^Stoffdaten!$G33</f>
        <v>230.67471887200747</v>
      </c>
      <c r="D33" s="36"/>
    </row>
    <row r="34" spans="1:4" ht="12.75">
      <c r="A34" s="187" t="s">
        <v>514</v>
      </c>
      <c r="B34" s="310">
        <v>0.1</v>
      </c>
      <c r="C34" s="401">
        <f>$B34/100*10^Stoffdaten!$G34</f>
        <v>785.2356346100722</v>
      </c>
      <c r="D34" s="36"/>
    </row>
    <row r="35" spans="1:4" ht="13.5" thickBot="1">
      <c r="A35" s="168"/>
      <c r="B35" s="350"/>
      <c r="C35" s="403"/>
      <c r="D35" s="36"/>
    </row>
    <row r="36" spans="1:4" ht="12.75">
      <c r="A36" s="131" t="s">
        <v>343</v>
      </c>
      <c r="B36" s="349"/>
      <c r="C36" s="404"/>
      <c r="D36" s="36"/>
    </row>
    <row r="37" spans="1:4" ht="12.75">
      <c r="A37" s="187" t="s">
        <v>500</v>
      </c>
      <c r="B37" s="310">
        <v>0.1</v>
      </c>
      <c r="C37" s="401">
        <f>$B37/100*10^Stoffdaten!$G37</f>
        <v>0.043752210515825236</v>
      </c>
      <c r="D37" s="36"/>
    </row>
    <row r="38" spans="1:4" ht="12.75">
      <c r="A38" s="187" t="s">
        <v>340</v>
      </c>
      <c r="B38" s="310">
        <v>0.1</v>
      </c>
      <c r="C38" s="401">
        <f>$B38/100*10^Stoffdaten!$G38</f>
        <v>0.08085371885255474</v>
      </c>
      <c r="D38" s="36"/>
    </row>
    <row r="39" spans="1:4" ht="12.75">
      <c r="A39" s="187" t="s">
        <v>338</v>
      </c>
      <c r="B39" s="310">
        <v>0.1</v>
      </c>
      <c r="C39" s="401">
        <f>$B39/100*10^Stoffdaten!$G39</f>
        <v>0.14893610777109165</v>
      </c>
      <c r="D39" s="36"/>
    </row>
    <row r="40" spans="1:4" ht="12.75">
      <c r="A40" s="187" t="s">
        <v>341</v>
      </c>
      <c r="B40" s="310">
        <v>0.1</v>
      </c>
      <c r="C40" s="401">
        <f>$B40/100*10^Stoffdaten!$G40</f>
        <v>0.2747894153102399</v>
      </c>
      <c r="D40" s="36"/>
    </row>
    <row r="41" spans="1:4" ht="12.75">
      <c r="A41" s="187" t="s">
        <v>501</v>
      </c>
      <c r="B41" s="310">
        <v>0.1</v>
      </c>
      <c r="C41" s="401">
        <f>$B41/100*10^Stoffdaten!$G41</f>
        <v>0.5069907082747048</v>
      </c>
      <c r="D41" s="36"/>
    </row>
    <row r="42" spans="1:4" ht="12.75">
      <c r="A42" s="187" t="s">
        <v>502</v>
      </c>
      <c r="B42" s="310">
        <v>0.1</v>
      </c>
      <c r="C42" s="401">
        <f>$B42/100*10^Stoffdaten!$G42</f>
        <v>0.9354056741475527</v>
      </c>
      <c r="D42" s="36"/>
    </row>
    <row r="43" spans="1:4" ht="12.75">
      <c r="A43" s="187" t="s">
        <v>503</v>
      </c>
      <c r="B43" s="310">
        <v>0.1</v>
      </c>
      <c r="C43" s="401">
        <f>$B43/100*10^Stoffdaten!$G43</f>
        <v>1.7218685749860085</v>
      </c>
      <c r="D43" s="36"/>
    </row>
    <row r="44" spans="1:4" ht="13.5" thickBot="1">
      <c r="A44" s="169"/>
      <c r="B44" s="350"/>
      <c r="C44" s="403"/>
      <c r="D44" s="36"/>
    </row>
    <row r="45" spans="1:4" ht="12.75">
      <c r="A45" s="131" t="s">
        <v>582</v>
      </c>
      <c r="B45" s="349"/>
      <c r="C45" s="404"/>
      <c r="D45" s="36"/>
    </row>
    <row r="46" spans="1:4" ht="12.75">
      <c r="A46" s="121" t="s">
        <v>112</v>
      </c>
      <c r="B46" s="310">
        <v>0.1</v>
      </c>
      <c r="C46" s="401">
        <f>$B46/100*10^Stoffdaten!$G46</f>
        <v>0.16557699634695286</v>
      </c>
      <c r="D46" s="36"/>
    </row>
    <row r="47" spans="1:4" ht="12.75">
      <c r="A47" s="121" t="s">
        <v>114</v>
      </c>
      <c r="B47" s="310">
        <v>0.1</v>
      </c>
      <c r="C47" s="401">
        <f>$B47/100*10^Stoffdaten!$G47</f>
        <v>0.2679168324819033</v>
      </c>
      <c r="D47" s="36"/>
    </row>
    <row r="48" spans="1:4" ht="12.75">
      <c r="A48" s="121" t="s">
        <v>113</v>
      </c>
      <c r="B48" s="310">
        <v>0.1</v>
      </c>
      <c r="C48" s="401">
        <f>$B48/100*10^Stoffdaten!$G48</f>
        <v>0.5176068319505681</v>
      </c>
      <c r="D48" s="36"/>
    </row>
    <row r="49" spans="1:4" ht="12.75">
      <c r="A49" s="121" t="s">
        <v>372</v>
      </c>
      <c r="B49" s="310">
        <v>0.1</v>
      </c>
      <c r="C49" s="401">
        <f>$B49/100*10^Stoffdaten!$G49</f>
        <v>0.4365158322401662</v>
      </c>
      <c r="D49" s="36"/>
    </row>
    <row r="50" spans="1:4" ht="12.75">
      <c r="A50" s="121" t="s">
        <v>344</v>
      </c>
      <c r="B50" s="310">
        <v>0.1</v>
      </c>
      <c r="C50" s="401">
        <f>$B50/100*10^Stoffdaten!$G50</f>
        <v>0.7177942912713617</v>
      </c>
      <c r="D50" s="36"/>
    </row>
    <row r="51" spans="1:4" ht="12.75">
      <c r="A51" s="121" t="s">
        <v>577</v>
      </c>
      <c r="B51" s="310">
        <v>0.1</v>
      </c>
      <c r="C51" s="401">
        <f>$B51/100*10^Stoffdaten!$G51</f>
        <v>0.839459986519398</v>
      </c>
      <c r="D51" s="36"/>
    </row>
    <row r="52" spans="1:4" ht="12.75">
      <c r="A52" s="121" t="s">
        <v>576</v>
      </c>
      <c r="B52" s="310">
        <v>0.1</v>
      </c>
      <c r="C52" s="401">
        <f>$B52/100*10^Stoffdaten!$G52</f>
        <v>0.9549925860214368</v>
      </c>
      <c r="D52" s="36"/>
    </row>
    <row r="53" spans="1:4" ht="12.75">
      <c r="A53" s="121" t="s">
        <v>398</v>
      </c>
      <c r="B53" s="310">
        <v>0.1</v>
      </c>
      <c r="C53" s="401">
        <f>$B53/100*10^Stoffdaten!$G53</f>
        <v>0.5176068319505681</v>
      </c>
      <c r="D53" s="36"/>
    </row>
    <row r="54" spans="1:4" ht="12.75">
      <c r="A54" s="121" t="s">
        <v>399</v>
      </c>
      <c r="B54" s="310">
        <v>0.1</v>
      </c>
      <c r="C54" s="401">
        <f>$B54/100*10^Stoffdaten!$G54</f>
        <v>0.8165823713585926</v>
      </c>
      <c r="D54" s="36"/>
    </row>
    <row r="55" spans="1:4" ht="12.75">
      <c r="A55" s="121" t="s">
        <v>371</v>
      </c>
      <c r="B55" s="310">
        <v>0.1</v>
      </c>
      <c r="C55" s="401">
        <f>$B55/100*10^Stoffdaten!$G55</f>
        <v>0.995405417351528</v>
      </c>
      <c r="D55" s="36"/>
    </row>
    <row r="56" spans="1:4" ht="13.5" thickBot="1">
      <c r="A56" s="126"/>
      <c r="B56" s="350"/>
      <c r="C56" s="403"/>
      <c r="D56" s="36"/>
    </row>
    <row r="57" spans="1:4" ht="12.75">
      <c r="A57" s="131" t="s">
        <v>115</v>
      </c>
      <c r="B57" s="349"/>
      <c r="C57" s="404"/>
      <c r="D57" s="36"/>
    </row>
    <row r="58" spans="1:4" ht="12.75">
      <c r="A58" s="121" t="s">
        <v>115</v>
      </c>
      <c r="B58" s="310">
        <v>0.1</v>
      </c>
      <c r="C58" s="401">
        <f>$B58/100*10^Stoffdaten!$G58</f>
        <v>0.005260172663907063</v>
      </c>
      <c r="D58" s="36"/>
    </row>
    <row r="59" spans="1:4" ht="13.5" thickBot="1">
      <c r="A59" s="126"/>
      <c r="B59" s="350"/>
      <c r="C59" s="403"/>
      <c r="D59" s="36"/>
    </row>
    <row r="60" spans="1:4" ht="12.75">
      <c r="A60" s="131" t="s">
        <v>116</v>
      </c>
      <c r="B60" s="349"/>
      <c r="C60" s="404"/>
      <c r="D60" s="36"/>
    </row>
    <row r="61" spans="1:4" ht="12.75">
      <c r="A61" s="131" t="s">
        <v>352</v>
      </c>
      <c r="B61" s="349"/>
      <c r="C61" s="404"/>
      <c r="D61" s="36"/>
    </row>
    <row r="62" spans="1:4" ht="12.75">
      <c r="A62" s="121" t="s">
        <v>586</v>
      </c>
      <c r="B62" s="310">
        <v>0.1</v>
      </c>
      <c r="C62" s="401">
        <f>$B62/100*10^Stoffdaten!$G62</f>
        <v>0.10690548792226583</v>
      </c>
      <c r="D62" s="36"/>
    </row>
    <row r="63" spans="1:4" ht="12.75">
      <c r="A63" s="121" t="s">
        <v>587</v>
      </c>
      <c r="B63" s="310">
        <v>0.1</v>
      </c>
      <c r="C63" s="401">
        <f>$B63/100*10^Stoffdaten!$G63</f>
        <v>0.06776415076106751</v>
      </c>
      <c r="D63" s="36"/>
    </row>
    <row r="64" spans="1:4" ht="12.75">
      <c r="A64" s="121" t="s">
        <v>117</v>
      </c>
      <c r="B64" s="310">
        <v>0.1</v>
      </c>
      <c r="C64" s="401">
        <f>$B64/100*10^Stoffdaten!$G64</f>
        <v>0.043752210515825236</v>
      </c>
      <c r="D64" s="36"/>
    </row>
    <row r="65" spans="1:4" ht="12.75">
      <c r="A65" s="121" t="s">
        <v>588</v>
      </c>
      <c r="B65" s="310">
        <v>0.1</v>
      </c>
      <c r="C65" s="401">
        <f>$B65/100*10^Stoffdaten!$G65</f>
        <v>0.023768402866248768</v>
      </c>
      <c r="D65" s="36"/>
    </row>
    <row r="66" spans="1:4" ht="12.75">
      <c r="A66" s="123"/>
      <c r="B66" s="349"/>
      <c r="C66" s="404"/>
      <c r="D66" s="36"/>
    </row>
    <row r="67" spans="1:4" ht="12.75">
      <c r="A67" s="131" t="s">
        <v>353</v>
      </c>
      <c r="B67" s="349"/>
      <c r="C67" s="404"/>
      <c r="D67" s="36"/>
    </row>
    <row r="68" spans="1:4" ht="12.75">
      <c r="A68" s="121" t="s">
        <v>126</v>
      </c>
      <c r="B68" s="310">
        <v>0.1</v>
      </c>
      <c r="C68" s="401">
        <f>$B68/100*10^Stoffdaten!$G68</f>
        <v>0.04864072056914617</v>
      </c>
      <c r="D68" s="36"/>
    </row>
    <row r="69" spans="1:4" ht="12.75">
      <c r="A69" s="121" t="s">
        <v>127</v>
      </c>
      <c r="B69" s="310">
        <v>0.1</v>
      </c>
      <c r="C69" s="401">
        <f>$B69/100*10^Stoffdaten!$G69</f>
        <v>0.035075187395256814</v>
      </c>
      <c r="D69" s="36"/>
    </row>
    <row r="70" spans="1:4" ht="12.75">
      <c r="A70" s="121" t="s">
        <v>357</v>
      </c>
      <c r="B70" s="310">
        <v>0.1</v>
      </c>
      <c r="C70" s="401">
        <f>$B70/100*10^Stoffdaten!$G70</f>
        <v>0.023768402866248768</v>
      </c>
      <c r="D70" s="36"/>
    </row>
    <row r="71" spans="1:4" ht="12.75">
      <c r="A71" s="121" t="s">
        <v>603</v>
      </c>
      <c r="B71" s="310">
        <v>0.1</v>
      </c>
      <c r="C71" s="401">
        <f>$B71/100*10^Stoffdaten!$G71</f>
        <v>0.014288939585111037</v>
      </c>
      <c r="D71" s="36"/>
    </row>
    <row r="72" spans="1:4" ht="12.75">
      <c r="A72" s="121" t="s">
        <v>926</v>
      </c>
      <c r="B72" s="310">
        <v>0.1</v>
      </c>
      <c r="C72" s="401">
        <f>$B72/100*10^Stoffdaten!$G72</f>
        <v>0.10690548792226583</v>
      </c>
      <c r="D72" s="36"/>
    </row>
    <row r="73" spans="1:4" ht="12.75">
      <c r="A73" s="121" t="s">
        <v>928</v>
      </c>
      <c r="B73" s="310">
        <v>0.1</v>
      </c>
      <c r="C73" s="401">
        <f>$B73/100*10^Stoffdaten!$G73</f>
        <v>0.0966050878989814</v>
      </c>
      <c r="D73" s="36"/>
    </row>
    <row r="74" spans="1:4" ht="12.75">
      <c r="A74" s="121" t="s">
        <v>373</v>
      </c>
      <c r="B74" s="310">
        <v>0.1</v>
      </c>
      <c r="C74" s="401">
        <f>$B74/100*10^Stoffdaten!$G74</f>
        <v>0.04864072056914617</v>
      </c>
      <c r="D74" s="36"/>
    </row>
    <row r="75" spans="1:4" ht="12.75">
      <c r="A75" s="121" t="s">
        <v>397</v>
      </c>
      <c r="B75" s="310">
        <v>0.1</v>
      </c>
      <c r="C75" s="401">
        <f>$B75/100*10^Stoffdaten!$G75</f>
        <v>0.043752210515825236</v>
      </c>
      <c r="D75" s="36"/>
    </row>
    <row r="76" spans="1:4" ht="12.75">
      <c r="A76" s="121" t="s">
        <v>358</v>
      </c>
      <c r="B76" s="310">
        <v>0.1</v>
      </c>
      <c r="C76" s="401">
        <f>$B76/100*10^Stoffdaten!$G76</f>
        <v>0.023768402866248768</v>
      </c>
      <c r="D76" s="36"/>
    </row>
    <row r="77" spans="1:4" ht="12.75">
      <c r="A77" s="121" t="s">
        <v>612</v>
      </c>
      <c r="B77" s="310">
        <v>0.1</v>
      </c>
      <c r="C77" s="401">
        <f>$B77/100*10^Stoffdaten!$G77</f>
        <v>0.04864072056914617</v>
      </c>
      <c r="D77" s="36"/>
    </row>
    <row r="78" spans="1:4" ht="12.75">
      <c r="A78" s="121" t="s">
        <v>614</v>
      </c>
      <c r="B78" s="310">
        <v>0.1</v>
      </c>
      <c r="C78" s="401">
        <f>$B78/100*10^Stoffdaten!$G78</f>
        <v>0.04864072056914617</v>
      </c>
      <c r="D78" s="36"/>
    </row>
    <row r="79" spans="1:4" ht="12.75">
      <c r="A79" s="121" t="s">
        <v>616</v>
      </c>
      <c r="B79" s="310">
        <v>0.1</v>
      </c>
      <c r="C79" s="401">
        <f>$B79/100*10^Stoffdaten!$G79</f>
        <v>0.035075187395256814</v>
      </c>
      <c r="D79" s="36"/>
    </row>
    <row r="80" spans="1:4" ht="12.75">
      <c r="A80" s="121" t="s">
        <v>615</v>
      </c>
      <c r="B80" s="310">
        <v>0.1</v>
      </c>
      <c r="C80" s="401">
        <f>$B80/100*10^Stoffdaten!$G80</f>
        <v>0.035075187395256814</v>
      </c>
      <c r="D80" s="36"/>
    </row>
    <row r="81" spans="1:4" ht="13.5" thickBot="1">
      <c r="A81" s="126"/>
      <c r="B81" s="350"/>
      <c r="C81" s="403"/>
      <c r="D81" s="36"/>
    </row>
    <row r="82" spans="1:4" ht="12.75">
      <c r="A82" s="131" t="s">
        <v>118</v>
      </c>
      <c r="B82" s="349"/>
      <c r="C82" s="404"/>
      <c r="D82" s="36"/>
    </row>
    <row r="83" spans="1:4" ht="12.75">
      <c r="A83" s="187" t="s">
        <v>655</v>
      </c>
      <c r="B83" s="310">
        <v>0.1</v>
      </c>
      <c r="C83" s="401">
        <f>$B83/100*10^Stoffdaten!$G83</f>
        <v>0.995405417351528</v>
      </c>
      <c r="D83" s="36"/>
    </row>
    <row r="84" spans="1:4" ht="12.75">
      <c r="A84" s="121" t="s">
        <v>263</v>
      </c>
      <c r="B84" s="310">
        <v>0.1</v>
      </c>
      <c r="C84" s="401">
        <f>$B84/100*10^Stoffdaten!$G84</f>
        <v>1.8365383433483466</v>
      </c>
      <c r="D84" s="36"/>
    </row>
    <row r="85" spans="1:4" ht="12.75">
      <c r="A85" s="121" t="s">
        <v>907</v>
      </c>
      <c r="B85" s="310">
        <v>0.1</v>
      </c>
      <c r="C85" s="401">
        <f>$B85/100*10^Stoffdaten!$G85</f>
        <v>3.040885025676282</v>
      </c>
      <c r="D85" s="36"/>
    </row>
    <row r="86" spans="1:4" ht="12.75">
      <c r="A86" s="121" t="s">
        <v>908</v>
      </c>
      <c r="B86" s="310">
        <v>0.1</v>
      </c>
      <c r="C86" s="401">
        <f>$B86/100*10^Stoffdaten!$G86</f>
        <v>5.023425895223875</v>
      </c>
      <c r="D86" s="36"/>
    </row>
    <row r="87" spans="1:4" ht="12.75">
      <c r="A87" s="121" t="s">
        <v>265</v>
      </c>
      <c r="B87" s="310">
        <v>0.1</v>
      </c>
      <c r="C87" s="401">
        <f>$B87/100*10^Stoffdaten!$G87</f>
        <v>6.1235039172477395</v>
      </c>
      <c r="D87" s="36"/>
    </row>
    <row r="88" spans="1:4" ht="12.75">
      <c r="A88" s="121" t="s">
        <v>264</v>
      </c>
      <c r="B88" s="310">
        <v>0.1</v>
      </c>
      <c r="C88" s="401">
        <f>$B88/100*10^Stoffdaten!$G88</f>
        <v>6.1235039172477395</v>
      </c>
      <c r="D88" s="36"/>
    </row>
    <row r="89" spans="1:4" ht="12.75">
      <c r="A89" s="121" t="s">
        <v>120</v>
      </c>
      <c r="B89" s="310">
        <v>0.1</v>
      </c>
      <c r="C89" s="401">
        <f>$B89/100*10^Stoffdaten!$G89</f>
        <v>11.297959146727987</v>
      </c>
      <c r="D89" s="36"/>
    </row>
    <row r="90" spans="1:4" ht="12.75">
      <c r="A90" s="121" t="s">
        <v>121</v>
      </c>
      <c r="B90" s="310">
        <v>0.1</v>
      </c>
      <c r="C90" s="401">
        <f>$B90/100*10^Stoffdaten!$G90</f>
        <v>20.8449088309729</v>
      </c>
      <c r="D90" s="36"/>
    </row>
    <row r="91" spans="1:4" ht="12.75">
      <c r="A91" s="121" t="s">
        <v>119</v>
      </c>
      <c r="B91" s="310">
        <v>0.1</v>
      </c>
      <c r="C91" s="401">
        <f>$B91/100*10^Stoffdaten!$G91</f>
        <v>20.417379446695286</v>
      </c>
      <c r="D91" s="36"/>
    </row>
    <row r="92" spans="1:4" ht="12.75">
      <c r="A92" s="121" t="s">
        <v>374</v>
      </c>
      <c r="B92" s="310">
        <v>0.1</v>
      </c>
      <c r="C92" s="401">
        <f>$B92/100*10^Stoffdaten!$G92</f>
        <v>70.79457843841378</v>
      </c>
      <c r="D92" s="36"/>
    </row>
    <row r="93" spans="1:4" ht="12.75">
      <c r="A93" s="121" t="s">
        <v>122</v>
      </c>
      <c r="B93" s="310">
        <v>0.1</v>
      </c>
      <c r="C93" s="401">
        <f>$B93/100*10^Stoffdaten!$G93</f>
        <v>69.34258060165696</v>
      </c>
      <c r="D93" s="36"/>
    </row>
    <row r="94" spans="1:4" ht="12.75">
      <c r="A94" s="121" t="s">
        <v>638</v>
      </c>
      <c r="B94" s="310">
        <v>0.1</v>
      </c>
      <c r="C94" s="401">
        <f>$B94/100*10^Stoffdaten!$G94</f>
        <v>231.2064790175598</v>
      </c>
      <c r="D94" s="36"/>
    </row>
    <row r="95" spans="1:4" ht="12.75">
      <c r="A95" s="121" t="s">
        <v>123</v>
      </c>
      <c r="B95" s="310">
        <v>0.1</v>
      </c>
      <c r="C95" s="401">
        <f>$B95/100*10^Stoffdaten!$G95</f>
        <v>236.04782331805825</v>
      </c>
      <c r="D95" s="36"/>
    </row>
    <row r="96" spans="1:4" ht="12.75">
      <c r="A96" s="121" t="s">
        <v>124</v>
      </c>
      <c r="B96" s="310">
        <v>0.1</v>
      </c>
      <c r="C96" s="401">
        <f>$B96/100*10^Stoffdaten!$G96</f>
        <v>787.0457896950996</v>
      </c>
      <c r="D96" s="36"/>
    </row>
    <row r="97" spans="1:4" ht="12.75">
      <c r="A97" s="121" t="s">
        <v>438</v>
      </c>
      <c r="B97" s="310">
        <v>0.1</v>
      </c>
      <c r="C97" s="401">
        <f>$B97/100*10^Stoffdaten!$G97</f>
        <v>803.5261221856191</v>
      </c>
      <c r="D97" s="36"/>
    </row>
    <row r="98" spans="1:4" ht="12.75">
      <c r="A98" s="121" t="s">
        <v>434</v>
      </c>
      <c r="B98" s="310">
        <v>0.1</v>
      </c>
      <c r="C98" s="401">
        <f>$B98/100*10^Stoffdaten!$G98</f>
        <v>787.0457896950996</v>
      </c>
      <c r="D98" s="36"/>
    </row>
    <row r="99" spans="1:4" ht="12.75">
      <c r="A99" s="121" t="s">
        <v>435</v>
      </c>
      <c r="B99" s="310">
        <v>0.1</v>
      </c>
      <c r="C99" s="401">
        <f>$B99/100*10^Stoffdaten!$G99</f>
        <v>2679.1683248190348</v>
      </c>
      <c r="D99" s="36"/>
    </row>
    <row r="100" spans="1:4" ht="12.75">
      <c r="A100" s="121" t="s">
        <v>437</v>
      </c>
      <c r="B100" s="310">
        <v>0.1</v>
      </c>
      <c r="C100" s="401">
        <f>$B100/100*10^Stoffdaten!$G100</f>
        <v>2624.218543384442</v>
      </c>
      <c r="D100" s="36"/>
    </row>
    <row r="101" spans="1:4" ht="12.75">
      <c r="A101" s="121" t="s">
        <v>436</v>
      </c>
      <c r="B101" s="310">
        <v>0.1</v>
      </c>
      <c r="C101" s="401">
        <f>$B101/100*10^Stoffdaten!$G101</f>
        <v>2679.1683248190348</v>
      </c>
      <c r="D101" s="36"/>
    </row>
    <row r="102" spans="1:4" ht="13.5" thickBot="1">
      <c r="A102" s="126"/>
      <c r="B102" s="350"/>
      <c r="C102" s="403"/>
      <c r="D102" s="36"/>
    </row>
    <row r="103" spans="1:4" ht="12.75">
      <c r="A103" s="131" t="s">
        <v>367</v>
      </c>
      <c r="B103" s="349"/>
      <c r="C103" s="404"/>
      <c r="D103" s="36"/>
    </row>
    <row r="104" spans="1:4" ht="12.75">
      <c r="A104" s="121" t="s">
        <v>359</v>
      </c>
      <c r="B104" s="310">
        <v>0.1</v>
      </c>
      <c r="C104" s="401">
        <f>$B104/100*10^Stoffdaten!$G104</f>
        <v>0.995405417351528</v>
      </c>
      <c r="D104" s="36"/>
    </row>
    <row r="105" spans="1:4" ht="12.75">
      <c r="A105" s="121" t="s">
        <v>360</v>
      </c>
      <c r="B105" s="310">
        <v>0.1</v>
      </c>
      <c r="C105" s="401">
        <f>$B105/100*10^Stoffdaten!$G105</f>
        <v>0.995405417351528</v>
      </c>
      <c r="D105" s="36"/>
    </row>
    <row r="106" spans="1:4" ht="12.75">
      <c r="A106" s="121" t="s">
        <v>361</v>
      </c>
      <c r="B106" s="310">
        <v>0.1</v>
      </c>
      <c r="C106" s="401">
        <f>$B106/100*10^Stoffdaten!$G106</f>
        <v>0.995405417351528</v>
      </c>
      <c r="D106" s="36"/>
    </row>
    <row r="107" spans="1:4" ht="12.75">
      <c r="A107" s="121" t="s">
        <v>362</v>
      </c>
      <c r="B107" s="310">
        <v>0.1</v>
      </c>
      <c r="C107" s="401">
        <f>$B107/100*10^Stoffdaten!$G107</f>
        <v>1.8365383433483466</v>
      </c>
      <c r="D107" s="36"/>
    </row>
    <row r="108" spans="1:4" ht="12.75">
      <c r="A108" s="121" t="s">
        <v>364</v>
      </c>
      <c r="B108" s="310">
        <v>0.1</v>
      </c>
      <c r="C108" s="401">
        <f>$B108/100*10^Stoffdaten!$G108</f>
        <v>11.297959146727987</v>
      </c>
      <c r="D108" s="36"/>
    </row>
    <row r="109" spans="1:4" ht="12.75">
      <c r="A109" s="121" t="s">
        <v>363</v>
      </c>
      <c r="B109" s="310">
        <v>0.1</v>
      </c>
      <c r="C109" s="401">
        <f>$B109/100*10^Stoffdaten!$G109</f>
        <v>20.417379446695286</v>
      </c>
      <c r="D109" s="36"/>
    </row>
    <row r="110" spans="1:4" ht="12.75">
      <c r="A110" s="121" t="s">
        <v>365</v>
      </c>
      <c r="B110" s="310">
        <v>0.1</v>
      </c>
      <c r="C110" s="401">
        <f>$B110/100*10^Stoffdaten!$G110</f>
        <v>11.297959146727987</v>
      </c>
      <c r="D110" s="36"/>
    </row>
    <row r="111" spans="1:4" ht="12.75">
      <c r="A111" s="121" t="s">
        <v>366</v>
      </c>
      <c r="B111" s="310">
        <v>0.1</v>
      </c>
      <c r="C111" s="401">
        <f>$B111/100*10^Stoffdaten!$G111</f>
        <v>11.297959146727987</v>
      </c>
      <c r="D111" s="36"/>
    </row>
    <row r="112" spans="1:4" ht="13.5" thickBot="1">
      <c r="A112" s="126"/>
      <c r="B112" s="350"/>
      <c r="C112" s="403"/>
      <c r="D112" s="36"/>
    </row>
    <row r="113" spans="1:4" ht="12.75">
      <c r="A113" s="131" t="s">
        <v>716</v>
      </c>
      <c r="B113" s="349"/>
      <c r="C113" s="404"/>
      <c r="D113" s="36"/>
    </row>
    <row r="114" spans="1:4" ht="12.75">
      <c r="A114" s="121" t="s">
        <v>125</v>
      </c>
      <c r="B114" s="310">
        <v>0.1</v>
      </c>
      <c r="C114" s="401">
        <f>$B114/100*10^Stoffdaten!$G114</f>
        <v>0.2679168324819033</v>
      </c>
      <c r="D114" s="36"/>
    </row>
    <row r="115" spans="1:4" ht="12.75">
      <c r="A115" s="121" t="s">
        <v>375</v>
      </c>
      <c r="B115" s="310">
        <v>0.1</v>
      </c>
      <c r="C115" s="401">
        <f>$B115/100*10^Stoffdaten!$G115</f>
        <v>0.44258837236262666</v>
      </c>
      <c r="D115" s="36"/>
    </row>
    <row r="116" spans="1:4" ht="12.75">
      <c r="A116" s="121" t="s">
        <v>376</v>
      </c>
      <c r="B116" s="310">
        <v>0.1</v>
      </c>
      <c r="C116" s="401">
        <f>$B116/100*10^Stoffdaten!$G116</f>
        <v>0.7177942912713617</v>
      </c>
      <c r="D116" s="36"/>
    </row>
    <row r="117" spans="1:4" ht="12.75">
      <c r="A117" s="121" t="s">
        <v>452</v>
      </c>
      <c r="B117" s="310">
        <v>0.1</v>
      </c>
      <c r="C117" s="401">
        <f>$B117/100*10^Stoffdaten!$G117</f>
        <v>3.38064836205982</v>
      </c>
      <c r="D117" s="36"/>
    </row>
    <row r="118" spans="1:4" ht="12.75">
      <c r="A118" s="187" t="s">
        <v>378</v>
      </c>
      <c r="B118" s="310">
        <v>0.1</v>
      </c>
      <c r="C118" s="401">
        <f>$B118/100*10^Stoffdaten!$G118</f>
        <v>0.44258837236262666</v>
      </c>
      <c r="D118" s="36"/>
    </row>
    <row r="119" spans="1:4" ht="12.75">
      <c r="A119" s="187" t="s">
        <v>379</v>
      </c>
      <c r="B119" s="310">
        <v>0.1</v>
      </c>
      <c r="C119" s="401">
        <f>$B119/100*10^Stoffdaten!$G119</f>
        <v>0.7177942912713617</v>
      </c>
      <c r="D119" s="36"/>
    </row>
    <row r="120" spans="1:4" ht="12.75">
      <c r="A120" s="187" t="s">
        <v>380</v>
      </c>
      <c r="B120" s="310">
        <v>0.1</v>
      </c>
      <c r="C120" s="401">
        <f>$B120/100*10^Stoffdaten!$G120</f>
        <v>1.1857687481671604</v>
      </c>
      <c r="D120" s="36"/>
    </row>
    <row r="121" spans="1:4" ht="12.75">
      <c r="A121" s="187" t="s">
        <v>711</v>
      </c>
      <c r="B121" s="310">
        <v>0.1</v>
      </c>
      <c r="C121" s="401">
        <f>$B121/100*10^Stoffdaten!$G121</f>
        <v>3.38064836205982</v>
      </c>
      <c r="D121" s="36"/>
    </row>
    <row r="122" spans="1:4" ht="13.5" thickBot="1">
      <c r="A122" s="126"/>
      <c r="B122" s="350"/>
      <c r="C122" s="403"/>
      <c r="D122" s="36"/>
    </row>
    <row r="123" spans="1:4" ht="12.75">
      <c r="A123" s="131" t="s">
        <v>355</v>
      </c>
      <c r="B123" s="349"/>
      <c r="C123" s="404"/>
      <c r="D123" s="36"/>
    </row>
    <row r="124" spans="1:4" ht="12.75">
      <c r="A124" s="121" t="s">
        <v>356</v>
      </c>
      <c r="B124" s="310">
        <v>0.1</v>
      </c>
      <c r="C124" s="401">
        <f>$B124/100*10^Stoffdaten!$G124</f>
        <v>0.19098532585662403</v>
      </c>
      <c r="D124" s="36"/>
    </row>
    <row r="125" spans="1:4" ht="12.75">
      <c r="A125" s="121" t="s">
        <v>491</v>
      </c>
      <c r="B125" s="310">
        <v>0.1</v>
      </c>
      <c r="C125" s="401">
        <f>$B125/100*10^Stoffdaten!$G125</f>
        <v>0.22029264630534567</v>
      </c>
      <c r="D125" s="36"/>
    </row>
    <row r="126" spans="1:4" ht="12.75">
      <c r="A126" s="121" t="s">
        <v>490</v>
      </c>
      <c r="B126" s="310">
        <v>0.1</v>
      </c>
      <c r="C126" s="401">
        <f>$B126/100*10^Stoffdaten!$G126</f>
        <v>1.0864256236170666</v>
      </c>
      <c r="D126" s="36"/>
    </row>
    <row r="127" spans="1:4" ht="12.75">
      <c r="A127" s="121" t="s">
        <v>406</v>
      </c>
      <c r="B127" s="310">
        <v>0.1</v>
      </c>
      <c r="C127" s="401">
        <f>$B127/100*10^Stoffdaten!$G127</f>
        <v>0.31550046233746304</v>
      </c>
      <c r="D127" s="36"/>
    </row>
    <row r="128" spans="1:4" ht="12.75">
      <c r="A128" s="121" t="s">
        <v>480</v>
      </c>
      <c r="B128" s="310">
        <v>0.1</v>
      </c>
      <c r="C128" s="401">
        <f>$B128/100*10^Stoffdaten!$G128</f>
        <v>0.3090295432513594</v>
      </c>
      <c r="D128" s="36"/>
    </row>
    <row r="129" spans="1:4" ht="12.75">
      <c r="A129" s="121" t="s">
        <v>481</v>
      </c>
      <c r="B129" s="310">
        <v>0.1</v>
      </c>
      <c r="C129" s="401">
        <f>$B129/100*10^Stoffdaten!$G129</f>
        <v>0.3090295432513594</v>
      </c>
      <c r="D129" s="36"/>
    </row>
    <row r="130" spans="1:4" ht="12.75">
      <c r="A130" s="121" t="s">
        <v>496</v>
      </c>
      <c r="B130" s="310">
        <v>0.1</v>
      </c>
      <c r="C130" s="401">
        <f>$B130/100*10^Stoffdaten!$G130</f>
        <v>0.3715352290971727</v>
      </c>
      <c r="D130" s="36"/>
    </row>
    <row r="131" spans="1:4" ht="12.75">
      <c r="A131" s="121" t="s">
        <v>495</v>
      </c>
      <c r="B131" s="310">
        <v>0.1</v>
      </c>
      <c r="C131" s="401">
        <f>$B131/100*10^Stoffdaten!$G131</f>
        <v>0.3639150361272072</v>
      </c>
      <c r="D131" s="36"/>
    </row>
    <row r="132" spans="1:4" ht="12.75">
      <c r="A132" s="121" t="s">
        <v>377</v>
      </c>
      <c r="B132" s="310">
        <v>0.1</v>
      </c>
      <c r="C132" s="401">
        <f>$B132/100*10^Stoffdaten!$G132</f>
        <v>0.3564511334262446</v>
      </c>
      <c r="D132" s="36"/>
    </row>
    <row r="133" spans="1:4" ht="12.75">
      <c r="A133" s="121" t="s">
        <v>692</v>
      </c>
      <c r="B133" s="310">
        <v>0.1</v>
      </c>
      <c r="C133" s="401">
        <f>$B133/100*10^Stoffdaten!$G133</f>
        <v>1.832314422371212</v>
      </c>
      <c r="D133" s="36"/>
    </row>
    <row r="134" spans="1:4" ht="12.75">
      <c r="A134" s="121" t="s">
        <v>493</v>
      </c>
      <c r="B134" s="310">
        <v>0.1</v>
      </c>
      <c r="C134" s="401">
        <f>$B134/100*10^Stoffdaten!$G134</f>
        <v>0.31550046233746304</v>
      </c>
      <c r="D134" s="36"/>
    </row>
    <row r="135" spans="1:4" ht="12.75">
      <c r="A135" s="121" t="s">
        <v>741</v>
      </c>
      <c r="B135" s="310">
        <v>0.1</v>
      </c>
      <c r="C135" s="401">
        <f>$B135/100*10^Stoffdaten!$G135</f>
        <v>1.832314422371212</v>
      </c>
      <c r="D135" s="36"/>
    </row>
    <row r="136" spans="1:4" ht="12.75">
      <c r="A136" s="121" t="s">
        <v>482</v>
      </c>
      <c r="B136" s="310">
        <v>0.1</v>
      </c>
      <c r="C136" s="401">
        <f>$B136/100*10^Stoffdaten!$G136</f>
        <v>0.10046157902783952</v>
      </c>
      <c r="D136" s="36"/>
    </row>
    <row r="137" spans="1:4" ht="13.5" thickBot="1">
      <c r="A137" s="126"/>
      <c r="B137" s="350"/>
      <c r="C137" s="403"/>
      <c r="D137" s="36"/>
    </row>
    <row r="138" spans="1:4" ht="12.75">
      <c r="A138" s="131" t="s">
        <v>188</v>
      </c>
      <c r="B138" s="349"/>
      <c r="C138" s="404"/>
      <c r="D138" s="36"/>
    </row>
    <row r="139" spans="1:4" ht="12.75">
      <c r="A139" s="187" t="s">
        <v>128</v>
      </c>
      <c r="B139" s="310">
        <v>0.1</v>
      </c>
      <c r="C139" s="401">
        <f>$B139/100*10^Stoffdaten!$G139</f>
        <v>0.2679168324819033</v>
      </c>
      <c r="D139" s="36"/>
    </row>
    <row r="140" spans="1:4" ht="12.75">
      <c r="A140" s="187" t="s">
        <v>396</v>
      </c>
      <c r="B140" s="310">
        <v>0.1</v>
      </c>
      <c r="C140" s="401">
        <f>$B140/100*10^Stoffdaten!$G140</f>
        <v>0.4345102241715716</v>
      </c>
      <c r="D140" s="36"/>
    </row>
    <row r="141" spans="1:4" ht="12.75">
      <c r="A141" s="187" t="s">
        <v>450</v>
      </c>
      <c r="B141" s="310">
        <v>0.1</v>
      </c>
      <c r="C141" s="401">
        <f>$B141/100*10^Stoffdaten!$G141</f>
        <v>40.17908108489405</v>
      </c>
      <c r="D141" s="36"/>
    </row>
    <row r="142" spans="1:4" ht="13.5" thickBot="1">
      <c r="A142" s="168"/>
      <c r="B142" s="350"/>
      <c r="C142" s="403"/>
      <c r="D142" s="36"/>
    </row>
    <row r="143" spans="1:4" ht="12.75">
      <c r="A143" s="131" t="s">
        <v>717</v>
      </c>
      <c r="B143" s="349"/>
      <c r="C143" s="404"/>
      <c r="D143" s="36"/>
    </row>
    <row r="144" spans="1:4" ht="12.75">
      <c r="A144" s="187" t="s">
        <v>381</v>
      </c>
      <c r="B144" s="310">
        <v>0.1</v>
      </c>
      <c r="C144" s="401">
        <f>$B144/100*10^Stoffdaten!$G144</f>
        <v>74.13102413009186</v>
      </c>
      <c r="D144" s="36"/>
    </row>
    <row r="145" spans="1:4" ht="13.5" thickBot="1">
      <c r="A145" s="168"/>
      <c r="B145" s="350"/>
      <c r="C145" s="403"/>
      <c r="D145" s="36"/>
    </row>
    <row r="146" spans="1:4" ht="12.75">
      <c r="A146" s="131" t="s">
        <v>382</v>
      </c>
      <c r="B146" s="351"/>
      <c r="C146" s="405"/>
      <c r="D146" s="36"/>
    </row>
    <row r="147" spans="1:4" ht="12.75">
      <c r="A147" s="187" t="s">
        <v>186</v>
      </c>
      <c r="B147" s="310">
        <v>0.1</v>
      </c>
      <c r="C147" s="401">
        <f>$B147/100*10^Stoffdaten!$G147</f>
        <v>105.68175092136595</v>
      </c>
      <c r="D147" s="36"/>
    </row>
    <row r="148" spans="1:4" ht="12.75">
      <c r="A148" s="187" t="s">
        <v>187</v>
      </c>
      <c r="B148" s="310">
        <v>0.1</v>
      </c>
      <c r="C148" s="401">
        <f>$B148/100*10^Stoffdaten!$G148</f>
        <v>220.2926463053458</v>
      </c>
      <c r="D148" s="36"/>
    </row>
    <row r="149" spans="1:4" ht="12.75">
      <c r="A149" s="187" t="s">
        <v>724</v>
      </c>
      <c r="B149" s="310">
        <v>0.1</v>
      </c>
      <c r="C149" s="401">
        <f>$B149/100*10^Stoffdaten!$G149</f>
        <v>3.38064836205982</v>
      </c>
      <c r="D149" s="36"/>
    </row>
    <row r="150" spans="1:4" ht="12.75">
      <c r="A150" s="187" t="s">
        <v>460</v>
      </c>
      <c r="B150" s="310">
        <v>0.1</v>
      </c>
      <c r="C150" s="401">
        <f>$B150/100*10^Stoffdaten!$G150</f>
        <v>0.06966265141107691</v>
      </c>
      <c r="D150" s="36"/>
    </row>
    <row r="151" spans="1:4" ht="12.75">
      <c r="A151" s="187" t="s">
        <v>388</v>
      </c>
      <c r="B151" s="310">
        <v>0.1</v>
      </c>
      <c r="C151" s="401">
        <f>$B151/100*10^Stoffdaten!$G151</f>
        <v>0.04017908108489401</v>
      </c>
      <c r="D151" s="36"/>
    </row>
    <row r="152" spans="1:4" ht="12.75">
      <c r="A152" s="187" t="s">
        <v>461</v>
      </c>
      <c r="B152" s="310">
        <v>0.1</v>
      </c>
      <c r="C152" s="401">
        <f>$B152/100*10^Stoffdaten!$G152</f>
        <v>10.592537251772914</v>
      </c>
      <c r="D152" s="36"/>
    </row>
    <row r="153" spans="1:4" ht="12.75">
      <c r="A153" s="187" t="s">
        <v>462</v>
      </c>
      <c r="B153" s="310">
        <v>0.1</v>
      </c>
      <c r="C153" s="401">
        <f>$B153/100*10^Stoffdaten!$G153</f>
        <v>21.97859872784827</v>
      </c>
      <c r="D153" s="36"/>
    </row>
    <row r="154" spans="1:4" ht="12.75">
      <c r="A154" s="187" t="s">
        <v>463</v>
      </c>
      <c r="B154" s="310">
        <v>0.1</v>
      </c>
      <c r="C154" s="401">
        <f>$B154/100*10^Stoffdaten!$G154</f>
        <v>0.20183663636815632</v>
      </c>
      <c r="D154" s="36"/>
    </row>
    <row r="155" spans="1:4" ht="12.75">
      <c r="A155" s="187" t="s">
        <v>494</v>
      </c>
      <c r="B155" s="310">
        <v>0.1</v>
      </c>
      <c r="C155" s="401">
        <f>$B155/100*10^Stoffdaten!$G155</f>
        <v>0.8649679187756933</v>
      </c>
      <c r="D155" s="36"/>
    </row>
    <row r="156" spans="1:4" ht="12.75">
      <c r="A156" s="187" t="s">
        <v>464</v>
      </c>
      <c r="B156" s="310">
        <v>0.1</v>
      </c>
      <c r="C156" s="401">
        <f>$B156/100*10^Stoffdaten!$G156</f>
        <v>2.3442288153199238</v>
      </c>
      <c r="D156" s="36"/>
    </row>
    <row r="157" spans="1:4" ht="12.75">
      <c r="A157" s="187" t="s">
        <v>465</v>
      </c>
      <c r="B157" s="310">
        <v>0.1</v>
      </c>
      <c r="C157" s="401">
        <f>$B157/100*10^Stoffdaten!$G157</f>
        <v>1.7782794100389245</v>
      </c>
      <c r="D157" s="36"/>
    </row>
    <row r="158" spans="1:4" ht="12.75">
      <c r="A158" s="187" t="s">
        <v>468</v>
      </c>
      <c r="B158" s="310">
        <v>0.1</v>
      </c>
      <c r="C158" s="401">
        <f>$B158/100*10^Stoffdaten!$G158</f>
        <v>0.5223961889991199</v>
      </c>
      <c r="D158" s="36"/>
    </row>
    <row r="159" spans="1:4" ht="12.75">
      <c r="A159" s="187" t="s">
        <v>387</v>
      </c>
      <c r="B159" s="310">
        <v>0.1</v>
      </c>
      <c r="C159" s="401">
        <f>$B159/100*10^Stoffdaten!$G159</f>
        <v>86.69618757582177</v>
      </c>
      <c r="D159" s="36"/>
    </row>
    <row r="160" spans="1:4" ht="12.75">
      <c r="A160" s="187" t="s">
        <v>466</v>
      </c>
      <c r="B160" s="310">
        <v>0.1</v>
      </c>
      <c r="C160" s="401">
        <f>$B160/100*10^Stoffdaten!$G160</f>
        <v>0.8184647881347898</v>
      </c>
      <c r="D160" s="36"/>
    </row>
    <row r="161" spans="1:4" ht="12.75">
      <c r="A161" s="187" t="s">
        <v>467</v>
      </c>
      <c r="B161" s="310">
        <v>0.1</v>
      </c>
      <c r="C161" s="401">
        <f>$B161/100*10^Stoffdaten!$G161</f>
        <v>0.030478949896279837</v>
      </c>
      <c r="D161" s="36"/>
    </row>
    <row r="162" spans="1:4" ht="12.75">
      <c r="A162" s="187" t="s">
        <v>469</v>
      </c>
      <c r="B162" s="310">
        <v>0.1</v>
      </c>
      <c r="C162" s="401">
        <f>$B162/100*10^Stoffdaten!$G162</f>
        <v>0.23227367963571074</v>
      </c>
      <c r="D162" s="36"/>
    </row>
    <row r="163" spans="1:4" ht="12.75">
      <c r="A163" s="187" t="s">
        <v>470</v>
      </c>
      <c r="B163" s="310">
        <v>0.1</v>
      </c>
      <c r="C163" s="401">
        <f>$B163/100*10^Stoffdaten!$G163</f>
        <v>3.1768740706497707</v>
      </c>
      <c r="D163" s="36"/>
    </row>
    <row r="164" spans="1:4" ht="12.75">
      <c r="A164" s="187" t="s">
        <v>471</v>
      </c>
      <c r="B164" s="310">
        <v>0.1</v>
      </c>
      <c r="C164" s="401">
        <f>$B164/100*10^Stoffdaten!$G164</f>
        <v>31.62277660168384</v>
      </c>
      <c r="D164" s="36"/>
    </row>
    <row r="165" spans="1:4" ht="12.75">
      <c r="A165" s="187" t="s">
        <v>472</v>
      </c>
      <c r="B165" s="310">
        <v>0.1</v>
      </c>
      <c r="C165" s="401">
        <f>$B165/100*10^Stoffdaten!$G165</f>
        <v>9.682778562612508</v>
      </c>
      <c r="D165" s="36"/>
    </row>
    <row r="166" spans="1:4" ht="12.75">
      <c r="A166" s="187" t="s">
        <v>473</v>
      </c>
      <c r="B166" s="310">
        <v>0.1</v>
      </c>
      <c r="C166" s="401">
        <f>$B166/100*10^Stoffdaten!$G166</f>
        <v>52.36004365857514</v>
      </c>
      <c r="D166" s="36"/>
    </row>
    <row r="167" spans="1:4" ht="12.75">
      <c r="A167" s="187" t="s">
        <v>474</v>
      </c>
      <c r="B167" s="310">
        <v>0.1</v>
      </c>
      <c r="C167" s="401">
        <f>$B167/100*10^Stoffdaten!$G167</f>
        <v>5.260172663907066</v>
      </c>
      <c r="D167" s="36"/>
    </row>
    <row r="168" spans="1:4" ht="12.75">
      <c r="A168" s="187" t="s">
        <v>475</v>
      </c>
      <c r="B168" s="310">
        <v>0.1</v>
      </c>
      <c r="C168" s="401">
        <f>$B168/100*10^Stoffdaten!$G168</f>
        <v>0.05382697825162887</v>
      </c>
      <c r="D168" s="36"/>
    </row>
    <row r="169" spans="1:4" ht="12.75">
      <c r="A169" s="187" t="s">
        <v>389</v>
      </c>
      <c r="B169" s="310">
        <v>0.1</v>
      </c>
      <c r="C169" s="401">
        <f>$B169/100*10^Stoffdaten!$G169</f>
        <v>0.08609937521846009</v>
      </c>
      <c r="D169" s="36"/>
    </row>
    <row r="170" spans="1:4" ht="12.75">
      <c r="A170" s="187" t="s">
        <v>383</v>
      </c>
      <c r="B170" s="310">
        <v>0.1</v>
      </c>
      <c r="C170" s="401">
        <f>$B170/100*10^Stoffdaten!$G170</f>
        <v>0.23014418174085108</v>
      </c>
      <c r="D170" s="36"/>
    </row>
    <row r="171" spans="1:4" ht="12.75">
      <c r="A171" s="187" t="s">
        <v>385</v>
      </c>
      <c r="B171" s="310">
        <v>0.1</v>
      </c>
      <c r="C171" s="401">
        <f>$B171/100*10^Stoffdaten!$G171</f>
        <v>0.10399201658290592</v>
      </c>
      <c r="D171" s="36"/>
    </row>
    <row r="172" spans="1:4" ht="12.75">
      <c r="A172" s="187" t="s">
        <v>384</v>
      </c>
      <c r="B172" s="310">
        <v>0.1</v>
      </c>
      <c r="C172" s="401">
        <f>$B172/100*10^Stoffdaten!$G172</f>
        <v>0.14893610777109165</v>
      </c>
      <c r="D172" s="36"/>
    </row>
    <row r="173" spans="1:4" ht="12.75">
      <c r="A173" s="187" t="s">
        <v>390</v>
      </c>
      <c r="B173" s="310">
        <v>0.1</v>
      </c>
      <c r="C173" s="401">
        <f>$B173/100*10^Stoffdaten!$G173</f>
        <v>0.6137620051647945</v>
      </c>
      <c r="D173" s="36"/>
    </row>
    <row r="174" spans="1:4" ht="12.75">
      <c r="A174" s="187" t="s">
        <v>391</v>
      </c>
      <c r="B174" s="310">
        <v>0.1</v>
      </c>
      <c r="C174" s="401">
        <f>$B174/100*10^Stoffdaten!$G174</f>
        <v>0.13614446824659504</v>
      </c>
      <c r="D174" s="36"/>
    </row>
    <row r="175" spans="1:4" ht="12.75">
      <c r="A175" s="187" t="s">
        <v>392</v>
      </c>
      <c r="B175" s="310">
        <v>0.1</v>
      </c>
      <c r="C175" s="401">
        <f>$B175/100*10^Stoffdaten!$G175</f>
        <v>0.3564511334262446</v>
      </c>
      <c r="D175" s="36"/>
    </row>
    <row r="176" spans="1:4" ht="12.75">
      <c r="A176" s="187" t="s">
        <v>393</v>
      </c>
      <c r="B176" s="310">
        <v>0.1</v>
      </c>
      <c r="C176" s="401">
        <f>$B176/100*10^Stoffdaten!$G176</f>
        <v>0.055718574893192985</v>
      </c>
      <c r="D176" s="36"/>
    </row>
    <row r="177" spans="1:4" ht="12.75">
      <c r="A177" s="187" t="s">
        <v>394</v>
      </c>
      <c r="B177" s="310">
        <v>0.1</v>
      </c>
      <c r="C177" s="401">
        <f>$B177/100*10^Stoffdaten!$G177</f>
        <v>0.03749730022454838</v>
      </c>
      <c r="D177" s="36"/>
    </row>
    <row r="178" spans="1:4" ht="12.75">
      <c r="A178" s="187" t="s">
        <v>386</v>
      </c>
      <c r="B178" s="310">
        <v>0.1</v>
      </c>
      <c r="C178" s="401">
        <f>$B178/100*10^Stoffdaten!$G178</f>
        <v>0.04864072056914617</v>
      </c>
      <c r="D178" s="36"/>
    </row>
    <row r="179" spans="1:4" ht="12.75">
      <c r="A179" s="187" t="s">
        <v>395</v>
      </c>
      <c r="B179" s="310">
        <v>0.1</v>
      </c>
      <c r="C179" s="401">
        <f>$B179/100*10^Stoffdaten!$G179</f>
        <v>0.2506109253032115</v>
      </c>
      <c r="D179" s="36"/>
    </row>
    <row r="180" spans="1:4" ht="12.75">
      <c r="A180" s="187" t="s">
        <v>784</v>
      </c>
      <c r="B180" s="310">
        <v>0.1</v>
      </c>
      <c r="C180" s="401">
        <f>$B180/100*10^Stoffdaten!$G180</f>
        <v>0.01811340092619603</v>
      </c>
      <c r="D180" s="36"/>
    </row>
    <row r="181" spans="1:4" ht="12.75">
      <c r="A181" s="187" t="s">
        <v>1110</v>
      </c>
      <c r="B181" s="310">
        <v>0.1</v>
      </c>
      <c r="C181" s="401">
        <f>$B181/100*10^Stoffdaten!$G181</f>
        <v>0.018793168168032694</v>
      </c>
      <c r="D181" s="36"/>
    </row>
    <row r="182" spans="1:4" ht="13.5" thickBot="1">
      <c r="A182" s="168"/>
      <c r="B182" s="350"/>
      <c r="C182" s="403"/>
      <c r="D182" s="36"/>
    </row>
    <row r="183" spans="1:4" ht="12.75">
      <c r="A183" s="131" t="s">
        <v>400</v>
      </c>
      <c r="B183" s="349"/>
      <c r="C183" s="404"/>
      <c r="D183" s="36"/>
    </row>
    <row r="184" spans="1:4" ht="12.75">
      <c r="A184" s="187" t="s">
        <v>401</v>
      </c>
      <c r="B184" s="310">
        <v>0.1</v>
      </c>
      <c r="C184" s="401">
        <f>$B184/100*10^Stoffdaten!$G184</f>
        <v>0.9354056741475527</v>
      </c>
      <c r="D184" s="36"/>
    </row>
    <row r="185" spans="1:4" ht="12.75">
      <c r="A185" s="187" t="s">
        <v>794</v>
      </c>
      <c r="B185" s="310">
        <v>0.1</v>
      </c>
      <c r="C185" s="401">
        <f>$B185/100*10^Stoffdaten!$G185</f>
        <v>9.954054173515281</v>
      </c>
      <c r="D185" s="36"/>
    </row>
    <row r="186" spans="1:4" ht="12.75">
      <c r="A186" s="187" t="s">
        <v>404</v>
      </c>
      <c r="B186" s="310">
        <v>0.1</v>
      </c>
      <c r="C186" s="401">
        <f>$B186/100*10^Stoffdaten!$G186</f>
        <v>444.6312674691086</v>
      </c>
      <c r="D186" s="36"/>
    </row>
    <row r="187" spans="1:4" ht="13.5" thickBot="1">
      <c r="A187" s="168"/>
      <c r="B187" s="350"/>
      <c r="C187" s="403"/>
      <c r="D187" s="36"/>
    </row>
    <row r="188" spans="1:4" ht="12.75">
      <c r="A188" s="131" t="s">
        <v>403</v>
      </c>
      <c r="B188" s="349"/>
      <c r="C188" s="404"/>
      <c r="D188" s="36"/>
    </row>
    <row r="189" spans="1:4" ht="12.75">
      <c r="A189" s="187" t="s">
        <v>405</v>
      </c>
      <c r="B189" s="310">
        <v>0.1</v>
      </c>
      <c r="C189" s="401">
        <f>$B189/100*10^Stoffdaten!$G189</f>
        <v>0.7568328950209746</v>
      </c>
      <c r="D189" s="36"/>
    </row>
    <row r="190" spans="1:4" ht="12.75">
      <c r="A190" s="187" t="s">
        <v>407</v>
      </c>
      <c r="B190" s="310">
        <v>0.1</v>
      </c>
      <c r="C190" s="401">
        <f>$B190/100*10^Stoffdaten!$G190</f>
        <v>0.1954339455775395</v>
      </c>
      <c r="D190" s="36"/>
    </row>
    <row r="191" spans="1:4" ht="12.75">
      <c r="A191" s="187" t="s">
        <v>408</v>
      </c>
      <c r="B191" s="310">
        <v>0.1</v>
      </c>
      <c r="C191" s="401">
        <f>$B191/100*10^Stoffdaten!$G191</f>
        <v>1621.810097358932</v>
      </c>
      <c r="D191" s="36"/>
    </row>
    <row r="192" spans="1:4" ht="12.75">
      <c r="A192" s="187" t="s">
        <v>409</v>
      </c>
      <c r="B192" s="310">
        <v>0.1</v>
      </c>
      <c r="C192" s="401">
        <f>$B192/100*10^Stoffdaten!$G192</f>
        <v>2.142890601120061</v>
      </c>
      <c r="D192" s="36"/>
    </row>
    <row r="193" spans="1:4" ht="12.75">
      <c r="A193" s="121" t="s">
        <v>410</v>
      </c>
      <c r="B193" s="310">
        <v>0.1</v>
      </c>
      <c r="C193" s="401">
        <f>$B193/100*10^Stoffdaten!$G193</f>
        <v>1.8535316234148118</v>
      </c>
      <c r="D193" s="36"/>
    </row>
    <row r="194" spans="1:4" ht="13.5" thickBot="1">
      <c r="A194" s="126"/>
      <c r="B194" s="350"/>
      <c r="C194" s="403"/>
      <c r="D194" s="36"/>
    </row>
    <row r="195" spans="1:6" ht="12.75">
      <c r="A195" s="131" t="s">
        <v>807</v>
      </c>
      <c r="B195" s="349"/>
      <c r="C195" s="404"/>
      <c r="D195" s="171"/>
      <c r="E195" s="102"/>
      <c r="F195" s="102"/>
    </row>
    <row r="196" spans="1:6" ht="12.75">
      <c r="A196" s="187" t="s">
        <v>808</v>
      </c>
      <c r="B196" s="310">
        <v>0.1</v>
      </c>
      <c r="C196" s="401">
        <f>$B196/100*10^Stoffdaten!$G196</f>
        <v>0.04623810213992606</v>
      </c>
      <c r="D196" s="171"/>
      <c r="E196" s="102"/>
      <c r="F196" s="102"/>
    </row>
    <row r="197" spans="1:3" ht="12.75">
      <c r="A197" s="187" t="s">
        <v>809</v>
      </c>
      <c r="B197" s="310">
        <v>0.1</v>
      </c>
      <c r="C197" s="401">
        <f>$B197/100*10^Stoffdaten!$G197</f>
        <v>0.0893305483733296</v>
      </c>
    </row>
    <row r="198" spans="1:3" ht="12.75">
      <c r="A198" s="187" t="s">
        <v>814</v>
      </c>
      <c r="B198" s="310">
        <v>0.1</v>
      </c>
      <c r="C198" s="401">
        <f>$B198/100*10^Stoffdaten!$G198</f>
        <v>19.054607179632505</v>
      </c>
    </row>
    <row r="199" spans="1:3" ht="12.75">
      <c r="A199" s="187" t="s">
        <v>826</v>
      </c>
      <c r="B199" s="310">
        <v>0.1</v>
      </c>
      <c r="C199" s="401">
        <f>$B199/100*10^Stoffdaten!$G199</f>
        <v>6.982324040771713</v>
      </c>
    </row>
    <row r="200" spans="1:3" ht="12.75">
      <c r="A200" s="187" t="s">
        <v>819</v>
      </c>
      <c r="B200" s="310">
        <v>0.1</v>
      </c>
      <c r="C200" s="401">
        <f>$B200/100*10^Stoffdaten!$G200</f>
        <v>0.2747894153102399</v>
      </c>
    </row>
    <row r="201" spans="1:3" ht="12.75">
      <c r="A201" s="187" t="s">
        <v>820</v>
      </c>
      <c r="B201" s="310">
        <v>0.1</v>
      </c>
      <c r="C201" s="401">
        <f>$B201/100*10^Stoffdaten!$G201</f>
        <v>5.754399373371567</v>
      </c>
    </row>
    <row r="202" spans="1:3" ht="12.75">
      <c r="A202" s="187" t="s">
        <v>823</v>
      </c>
      <c r="B202" s="310">
        <v>0.1</v>
      </c>
      <c r="C202" s="401">
        <f>$B202/100*10^Stoffdaten!$G202</f>
        <v>0.8165823713585926</v>
      </c>
    </row>
    <row r="203" spans="1:3" ht="13.5" thickBot="1">
      <c r="A203" s="169"/>
      <c r="B203" s="350"/>
      <c r="C203" s="403"/>
    </row>
    <row r="204" spans="1:3" ht="12.75">
      <c r="A204" s="201" t="s">
        <v>829</v>
      </c>
      <c r="B204" s="349"/>
      <c r="C204" s="404"/>
    </row>
    <row r="205" spans="1:3" ht="12.75">
      <c r="A205" s="121" t="s">
        <v>455</v>
      </c>
      <c r="B205" s="310">
        <v>0.1</v>
      </c>
      <c r="C205" s="401">
        <f>$B205/100*10^Stoffdaten!$G205</f>
        <v>0.004487453899331323</v>
      </c>
    </row>
    <row r="206" spans="1:3" ht="13.5" thickBot="1">
      <c r="A206" s="125"/>
      <c r="B206" s="350"/>
      <c r="C206" s="403"/>
    </row>
  </sheetData>
  <sheetProtection password="9C67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Engeser</dc:creator>
  <cp:keywords/>
  <dc:description/>
  <cp:lastModifiedBy>Engeser.B</cp:lastModifiedBy>
  <cp:lastPrinted>2009-02-20T08:35:21Z</cp:lastPrinted>
  <dcterms:created xsi:type="dcterms:W3CDTF">2006-03-03T08:20:32Z</dcterms:created>
  <dcterms:modified xsi:type="dcterms:W3CDTF">2009-02-27T06:49:44Z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